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filterPrivacy="1" defaultThemeVersion="124226"/>
  <xr:revisionPtr revIDLastSave="0" documentId="8_{89C7DE0E-19BD-4B27-8FD2-5D971F677EE5}" xr6:coauthVersionLast="36" xr6:coauthVersionMax="36" xr10:uidLastSave="{00000000-0000-0000-0000-000000000000}"/>
  <bookViews>
    <workbookView xWindow="0" yWindow="0" windowWidth="28800" windowHeight="11880" firstSheet="2" activeTab="2" xr2:uid="{00000000-000D-0000-FFFF-FFFF00000000}"/>
  </bookViews>
  <sheets>
    <sheet name="ВЛ " sheetId="5" state="hidden" r:id="rId1"/>
    <sheet name="КЛ" sheetId="2" state="hidden" r:id="rId2"/>
    <sheet name="ПС" sheetId="4" r:id="rId3"/>
    <sheet name="Информация о подписи" sheetId="6" r:id="rId4"/>
  </sheets>
  <definedNames>
    <definedName name="_xlnm.Print_Area" localSheetId="0">'ВЛ '!$A$1:$L$13</definedName>
    <definedName name="_xlnm.Print_Area" localSheetId="2">ПС!$A$1:$AQ$161</definedName>
  </definedNames>
  <calcPr calcId="191029" calcMode="autoNoTable" calcOnSave="0"/>
</workbook>
</file>

<file path=xl/calcChain.xml><?xml version="1.0" encoding="utf-8"?>
<calcChain xmlns="http://schemas.openxmlformats.org/spreadsheetml/2006/main">
  <c r="I160" i="4" l="1"/>
  <c r="L160" i="4" s="1"/>
  <c r="I159" i="4"/>
  <c r="L159" i="4" s="1"/>
  <c r="I158" i="4"/>
  <c r="L158" i="4" s="1"/>
  <c r="I157" i="4"/>
  <c r="L157" i="4" s="1"/>
  <c r="I156" i="4"/>
  <c r="L156" i="4" s="1"/>
  <c r="I155" i="4"/>
  <c r="L155" i="4" s="1"/>
  <c r="L154" i="4"/>
  <c r="L153" i="4"/>
  <c r="I153" i="4"/>
  <c r="I152" i="4"/>
  <c r="L152" i="4" s="1"/>
  <c r="I151" i="4"/>
  <c r="L151" i="4" s="1"/>
  <c r="I150" i="4"/>
  <c r="L150" i="4" s="1"/>
  <c r="I149" i="4"/>
  <c r="L149" i="4" s="1"/>
  <c r="I148" i="4"/>
  <c r="L148" i="4" s="1"/>
  <c r="I147" i="4"/>
  <c r="L147" i="4" s="1"/>
  <c r="I146" i="4"/>
  <c r="L146" i="4" s="1"/>
  <c r="AM146" i="4" s="1"/>
  <c r="I144" i="4"/>
  <c r="L144" i="4" s="1"/>
  <c r="I143" i="4"/>
  <c r="L143" i="4" s="1"/>
  <c r="I142" i="4"/>
  <c r="L142" i="4" s="1"/>
  <c r="I141" i="4"/>
  <c r="L141" i="4" s="1"/>
  <c r="I139" i="4"/>
  <c r="L139" i="4" s="1"/>
  <c r="L138" i="4"/>
  <c r="I138" i="4"/>
  <c r="I137" i="4"/>
  <c r="L137" i="4" s="1"/>
  <c r="I136" i="4"/>
  <c r="L136" i="4" s="1"/>
  <c r="AD152" i="4" l="1"/>
  <c r="AD136" i="4"/>
  <c r="AD158" i="4"/>
  <c r="AD155" i="4"/>
  <c r="AD146" i="4"/>
  <c r="AE146" i="4" s="1"/>
  <c r="AD141" i="4"/>
  <c r="AE152" i="4" l="1"/>
  <c r="AM152" i="4"/>
  <c r="AF152" i="4"/>
  <c r="AQ136" i="4"/>
  <c r="AE136" i="4"/>
  <c r="AF136" i="4" s="1"/>
  <c r="AE141" i="4"/>
  <c r="AF141" i="4" s="1"/>
  <c r="AE155" i="4"/>
  <c r="AM155" i="4"/>
  <c r="AF155" i="4" s="1"/>
  <c r="AM158" i="4"/>
  <c r="AF158" i="4" s="1"/>
  <c r="AE158" i="4"/>
  <c r="AM44" i="4" l="1"/>
  <c r="L135" i="4" l="1"/>
  <c r="I134" i="4"/>
  <c r="L134" i="4" s="1"/>
  <c r="I133" i="4"/>
  <c r="L133" i="4" s="1"/>
  <c r="I132" i="4"/>
  <c r="L132" i="4" s="1"/>
  <c r="AE90" i="4" l="1"/>
  <c r="AM90" i="4"/>
  <c r="AF90" i="4" s="1"/>
  <c r="M132" i="4"/>
  <c r="N132" i="4" s="1"/>
  <c r="O132" i="4" s="1"/>
  <c r="AD132" i="4" s="1"/>
  <c r="AE132" i="4" s="1"/>
  <c r="AQ132" i="4" s="1"/>
  <c r="AF132" i="4" s="1"/>
  <c r="AC132" i="4" l="1"/>
  <c r="Q132" i="4" s="1"/>
  <c r="P132" i="4"/>
  <c r="I128" i="4" l="1"/>
  <c r="L128" i="4" s="1"/>
  <c r="M128" i="4" s="1"/>
  <c r="I129" i="4"/>
  <c r="L129" i="4" s="1"/>
  <c r="M129" i="4" s="1"/>
  <c r="I130" i="4"/>
  <c r="L130" i="4" s="1"/>
  <c r="M130" i="4" s="1"/>
  <c r="I131" i="4"/>
  <c r="L131" i="4" s="1"/>
  <c r="M131" i="4" s="1"/>
  <c r="N128" i="4" l="1"/>
  <c r="O128" i="4" s="1"/>
  <c r="Z128" i="4" s="1"/>
  <c r="N129" i="4"/>
  <c r="O129" i="4" s="1"/>
  <c r="N130" i="4"/>
  <c r="O130" i="4" s="1"/>
  <c r="N131" i="4"/>
  <c r="O131" i="4" s="1"/>
  <c r="I127" i="4"/>
  <c r="L127" i="4" s="1"/>
  <c r="M127" i="4" s="1"/>
  <c r="N127" i="4" s="1"/>
  <c r="O127" i="4" s="1"/>
  <c r="AD127" i="4" l="1"/>
  <c r="AM127" i="4" s="1"/>
  <c r="AF127" i="4" s="1"/>
  <c r="P127" i="4"/>
  <c r="Z129" i="4"/>
  <c r="Q129" i="4" s="1"/>
  <c r="AD129" i="4"/>
  <c r="AB131" i="4"/>
  <c r="Q131" i="4" s="1"/>
  <c r="AD131" i="4"/>
  <c r="AA130" i="4"/>
  <c r="Q130" i="4" s="1"/>
  <c r="AD130" i="4"/>
  <c r="Y127" i="4"/>
  <c r="Q127" i="4" s="1"/>
  <c r="Q128" i="4"/>
  <c r="P128" i="4"/>
  <c r="AD128" i="4" s="1"/>
  <c r="P129" i="4"/>
  <c r="P130" i="4"/>
  <c r="P131" i="4"/>
  <c r="M120" i="4"/>
  <c r="N120" i="4" s="1"/>
  <c r="AE127" i="4" l="1"/>
  <c r="AN128" i="4"/>
  <c r="AE128" i="4"/>
  <c r="AN129" i="4"/>
  <c r="AF129" i="4" s="1"/>
  <c r="AE129" i="4"/>
  <c r="AO130" i="4"/>
  <c r="AF130" i="4" s="1"/>
  <c r="AE130" i="4"/>
  <c r="AP131" i="4"/>
  <c r="AF131" i="4" s="1"/>
  <c r="AE131" i="4"/>
  <c r="O120" i="4"/>
  <c r="P120" i="4" s="1"/>
  <c r="Q120" i="4" s="1"/>
  <c r="AF128" i="4" l="1"/>
  <c r="AD120" i="4"/>
  <c r="X120" i="4"/>
  <c r="I11" i="4"/>
  <c r="L11" i="4" s="1"/>
  <c r="AE120" i="4" l="1"/>
  <c r="AF120" i="4" s="1"/>
  <c r="I32" i="4"/>
  <c r="L32" i="4" s="1"/>
  <c r="W26" i="4" s="1"/>
  <c r="I31" i="4"/>
  <c r="L31" i="4" s="1"/>
  <c r="I25" i="4" l="1"/>
  <c r="L25" i="4" s="1"/>
  <c r="I24" i="4"/>
  <c r="L24" i="4" s="1"/>
  <c r="I23" i="4"/>
  <c r="L23" i="4" s="1"/>
  <c r="I22" i="4"/>
  <c r="L22" i="4" s="1"/>
  <c r="I21" i="4"/>
  <c r="L21" i="4" s="1"/>
  <c r="I20" i="4"/>
  <c r="L20" i="4" s="1"/>
  <c r="M20" i="4" s="1"/>
  <c r="I19" i="4"/>
  <c r="L19" i="4" s="1"/>
  <c r="M19" i="4" s="1"/>
  <c r="L18" i="4"/>
  <c r="M18" i="4" s="1"/>
  <c r="I18" i="4"/>
  <c r="L17" i="4"/>
  <c r="M17" i="4" s="1"/>
  <c r="I17" i="4"/>
  <c r="L16" i="4"/>
  <c r="M16" i="4" s="1"/>
  <c r="I16" i="4"/>
  <c r="L15" i="4"/>
  <c r="M15" i="4" s="1"/>
  <c r="I15" i="4"/>
  <c r="I14" i="4"/>
  <c r="L14" i="4" s="1"/>
  <c r="W13" i="4" s="1"/>
  <c r="W161" i="4" s="1"/>
  <c r="I13" i="4"/>
  <c r="L13" i="4" s="1"/>
  <c r="X13" i="4" s="1"/>
  <c r="I12" i="4"/>
  <c r="L12" i="4" s="1"/>
  <c r="M11" i="4" s="1"/>
  <c r="I10" i="4"/>
  <c r="L10" i="4" s="1"/>
  <c r="I9" i="4"/>
  <c r="L9" i="4" s="1"/>
  <c r="M9" i="4" s="1"/>
  <c r="AR161" i="4"/>
  <c r="M21" i="4" l="1"/>
  <c r="N21" i="4" s="1"/>
  <c r="O21" i="4" s="1"/>
  <c r="AD21" i="4" s="1"/>
  <c r="Q13" i="4"/>
  <c r="M13" i="4"/>
  <c r="N9" i="4"/>
  <c r="N11" i="4"/>
  <c r="O11" i="4" s="1"/>
  <c r="AD11" i="4" s="1"/>
  <c r="N15" i="4"/>
  <c r="O15" i="4" s="1"/>
  <c r="AD15" i="4" s="1"/>
  <c r="N18" i="4"/>
  <c r="O18" i="4" s="1"/>
  <c r="AD18" i="4" s="1"/>
  <c r="N16" i="4"/>
  <c r="O16" i="4" s="1"/>
  <c r="AD16" i="4" s="1"/>
  <c r="N19" i="4"/>
  <c r="O19" i="4" s="1"/>
  <c r="AD19" i="4" s="1"/>
  <c r="N20" i="4"/>
  <c r="O20" i="4" s="1"/>
  <c r="AD20" i="4" s="1"/>
  <c r="N17" i="4"/>
  <c r="O17" i="4" s="1"/>
  <c r="AD17" i="4" s="1"/>
  <c r="AE20" i="4" l="1"/>
  <c r="AF20" i="4" s="1"/>
  <c r="AE15" i="4"/>
  <c r="AF15" i="4" s="1"/>
  <c r="AE17" i="4"/>
  <c r="AF17" i="4" s="1"/>
  <c r="AE19" i="4"/>
  <c r="AF19" i="4" s="1"/>
  <c r="AE16" i="4"/>
  <c r="AF16" i="4" s="1"/>
  <c r="AE18" i="4"/>
  <c r="AF18" i="4" s="1"/>
  <c r="AE11" i="4"/>
  <c r="AF11" i="4" s="1"/>
  <c r="AE21" i="4"/>
  <c r="AF21" i="4" s="1"/>
  <c r="P17" i="4"/>
  <c r="X17" i="4"/>
  <c r="Q17" i="4" s="1"/>
  <c r="X19" i="4"/>
  <c r="Q19" i="4" s="1"/>
  <c r="P19" i="4"/>
  <c r="X16" i="4"/>
  <c r="Q16" i="4" s="1"/>
  <c r="P16" i="4"/>
  <c r="X20" i="4"/>
  <c r="Q20" i="4" s="1"/>
  <c r="P20" i="4"/>
  <c r="O9" i="4"/>
  <c r="P18" i="4"/>
  <c r="X18" i="4"/>
  <c r="Q18" i="4" s="1"/>
  <c r="X21" i="4"/>
  <c r="Q21" i="4" s="1"/>
  <c r="P21" i="4"/>
  <c r="P15" i="4"/>
  <c r="X15" i="4"/>
  <c r="Q15" i="4" s="1"/>
  <c r="X11" i="4"/>
  <c r="Q11" i="4" s="1"/>
  <c r="P11" i="4"/>
  <c r="N13" i="4"/>
  <c r="O13" i="4" s="1"/>
  <c r="AD9" i="4" l="1"/>
  <c r="P13" i="4"/>
  <c r="AD13" i="4"/>
  <c r="P9" i="4"/>
  <c r="I119" i="4"/>
  <c r="L119" i="4" s="1"/>
  <c r="I118" i="4"/>
  <c r="L118" i="4" s="1"/>
  <c r="I117" i="4"/>
  <c r="L117" i="4" s="1"/>
  <c r="I116" i="4"/>
  <c r="L116" i="4" s="1"/>
  <c r="I96" i="4"/>
  <c r="I94" i="4"/>
  <c r="L94" i="4" s="1"/>
  <c r="X9" i="4" l="1"/>
  <c r="X161" i="4" s="1"/>
  <c r="AE9" i="4"/>
  <c r="AF9" i="4" s="1"/>
  <c r="AE13" i="4"/>
  <c r="AF13" i="4" s="1"/>
  <c r="M116" i="4"/>
  <c r="I89" i="4"/>
  <c r="L89" i="4" s="1"/>
  <c r="I86" i="4"/>
  <c r="I74" i="4"/>
  <c r="L74" i="4" s="1"/>
  <c r="I77" i="4"/>
  <c r="L77" i="4" s="1"/>
  <c r="I80" i="4"/>
  <c r="L80" i="4" s="1"/>
  <c r="I78" i="4"/>
  <c r="I73" i="4"/>
  <c r="L73" i="4" s="1"/>
  <c r="I72" i="4"/>
  <c r="L72" i="4" s="1"/>
  <c r="I71" i="4"/>
  <c r="L71" i="4" s="1"/>
  <c r="I68" i="4"/>
  <c r="L68" i="4" s="1"/>
  <c r="I69" i="4"/>
  <c r="L69" i="4" s="1"/>
  <c r="I67" i="4"/>
  <c r="L67" i="4" s="1"/>
  <c r="I59" i="4"/>
  <c r="L59" i="4" s="1"/>
  <c r="I57" i="4"/>
  <c r="L57" i="4" s="1"/>
  <c r="I58" i="4"/>
  <c r="L58" i="4" s="1"/>
  <c r="I56" i="4"/>
  <c r="L56" i="4" s="1"/>
  <c r="I55" i="4"/>
  <c r="L55" i="4" s="1"/>
  <c r="I54" i="4"/>
  <c r="L54" i="4" s="1"/>
  <c r="I51" i="4"/>
  <c r="L51" i="4" s="1"/>
  <c r="I46" i="4"/>
  <c r="L46" i="4" s="1"/>
  <c r="I50" i="4"/>
  <c r="L50" i="4" s="1"/>
  <c r="I47" i="4"/>
  <c r="L47" i="4" s="1"/>
  <c r="I48" i="4"/>
  <c r="L48" i="4" s="1"/>
  <c r="I52" i="4"/>
  <c r="L52" i="4" s="1"/>
  <c r="I45" i="4"/>
  <c r="L45" i="4" s="1"/>
  <c r="I37" i="4"/>
  <c r="L37" i="4" s="1"/>
  <c r="I34" i="4"/>
  <c r="L34" i="4" s="1"/>
  <c r="I33" i="4"/>
  <c r="AP44" i="4" l="1"/>
  <c r="AO54" i="4"/>
  <c r="AN54" i="4"/>
  <c r="AF54" i="4" s="1"/>
  <c r="Z54" i="4"/>
  <c r="AA54" i="4"/>
  <c r="AB44" i="4"/>
  <c r="Q9" i="4"/>
  <c r="I28" i="4"/>
  <c r="Q54" i="4" l="1"/>
  <c r="I108" i="4"/>
  <c r="L108" i="4" s="1"/>
  <c r="I109" i="4"/>
  <c r="L109" i="4" s="1"/>
  <c r="I106" i="4"/>
  <c r="L106" i="4" s="1"/>
  <c r="I107" i="4"/>
  <c r="L107" i="4" s="1"/>
  <c r="I104" i="4"/>
  <c r="L104" i="4" s="1"/>
  <c r="I102" i="4" l="1"/>
  <c r="L102" i="4" s="1"/>
  <c r="I111" i="4"/>
  <c r="L111" i="4" s="1"/>
  <c r="AB102" i="4" l="1"/>
  <c r="AP102" i="4"/>
  <c r="I100" i="4"/>
  <c r="L100" i="4" s="1"/>
  <c r="I98" i="4"/>
  <c r="L98" i="4" s="1"/>
  <c r="I97" i="4"/>
  <c r="L97" i="4" s="1"/>
  <c r="I88" i="4" l="1"/>
  <c r="L88" i="4" s="1"/>
  <c r="I87" i="4"/>
  <c r="L87" i="4" s="1"/>
  <c r="L86" i="4"/>
  <c r="I85" i="4"/>
  <c r="L85" i="4" s="1"/>
  <c r="I84" i="4"/>
  <c r="L84" i="4" s="1"/>
  <c r="I83" i="4"/>
  <c r="L83" i="4" s="1"/>
  <c r="I79" i="4"/>
  <c r="L79" i="4" s="1"/>
  <c r="L78" i="4"/>
  <c r="I76" i="4"/>
  <c r="L76" i="4" s="1"/>
  <c r="I75" i="4"/>
  <c r="L75" i="4" s="1"/>
  <c r="AQ74" i="4" s="1"/>
  <c r="I70" i="4"/>
  <c r="L70" i="4" s="1"/>
  <c r="AC74" i="4" l="1"/>
  <c r="I81" i="4"/>
  <c r="L81" i="4" s="1"/>
  <c r="AP74" i="4" s="1"/>
  <c r="I65" i="4"/>
  <c r="L65" i="4" s="1"/>
  <c r="AF74" i="4" l="1"/>
  <c r="AB74" i="4"/>
  <c r="Q74" i="4" s="1"/>
  <c r="I66" i="4"/>
  <c r="L66" i="4" s="1"/>
  <c r="Z64" i="4" l="1"/>
  <c r="AN64" i="4"/>
  <c r="I62" i="4"/>
  <c r="L62" i="4" s="1"/>
  <c r="I61" i="4"/>
  <c r="L61" i="4" s="1"/>
  <c r="I60" i="4"/>
  <c r="L60" i="4" s="1"/>
  <c r="AA57" i="4" l="1"/>
  <c r="AO57" i="4"/>
  <c r="I49" i="4"/>
  <c r="L49" i="4" s="1"/>
  <c r="I39" i="4" l="1"/>
  <c r="L39" i="4" s="1"/>
  <c r="I40" i="4"/>
  <c r="L40" i="4" s="1"/>
  <c r="I41" i="4"/>
  <c r="L41" i="4" s="1"/>
  <c r="I42" i="4"/>
  <c r="L42" i="4" s="1"/>
  <c r="I38" i="4"/>
  <c r="L38" i="4" s="1"/>
  <c r="I36" i="4"/>
  <c r="L36" i="4" s="1"/>
  <c r="L28" i="4" l="1"/>
  <c r="L33" i="4"/>
  <c r="I30" i="4" l="1"/>
  <c r="L30" i="4" s="1"/>
  <c r="I29" i="4"/>
  <c r="L29" i="4" s="1"/>
  <c r="I27" i="4" l="1"/>
  <c r="L27" i="4" s="1"/>
  <c r="I115" i="4" l="1"/>
  <c r="L115" i="4" s="1"/>
  <c r="I114" i="4"/>
  <c r="L114" i="4" s="1"/>
  <c r="I113" i="4"/>
  <c r="L113" i="4" s="1"/>
  <c r="I112" i="4"/>
  <c r="L112" i="4" s="1"/>
  <c r="I110" i="4"/>
  <c r="L110" i="4" s="1"/>
  <c r="I105" i="4"/>
  <c r="L105" i="4" s="1"/>
  <c r="I103" i="4"/>
  <c r="L103" i="4" s="1"/>
  <c r="I101" i="4"/>
  <c r="L101" i="4" s="1"/>
  <c r="I99" i="4"/>
  <c r="L99" i="4" s="1"/>
  <c r="L96" i="4"/>
  <c r="I95" i="4"/>
  <c r="L95" i="4" s="1"/>
  <c r="I93" i="4"/>
  <c r="L93" i="4" s="1"/>
  <c r="I92" i="4"/>
  <c r="L92" i="4" s="1"/>
  <c r="I91" i="4"/>
  <c r="L91" i="4" s="1"/>
  <c r="I90" i="4"/>
  <c r="L90" i="4" s="1"/>
  <c r="I82" i="4"/>
  <c r="L82" i="4" s="1"/>
  <c r="M82" i="4" s="1"/>
  <c r="I64" i="4"/>
  <c r="L64" i="4" s="1"/>
  <c r="AO64" i="4" s="1"/>
  <c r="AF64" i="4" s="1"/>
  <c r="I63" i="4"/>
  <c r="L63" i="4" s="1"/>
  <c r="AN57" i="4" s="1"/>
  <c r="AF57" i="4" s="1"/>
  <c r="I53" i="4"/>
  <c r="L53" i="4" s="1"/>
  <c r="AN44" i="4" s="1"/>
  <c r="I44" i="4"/>
  <c r="L44" i="4" s="1"/>
  <c r="I43" i="4"/>
  <c r="L43" i="4" s="1"/>
  <c r="I35" i="4"/>
  <c r="L35" i="4" s="1"/>
  <c r="AQ102" i="4" l="1"/>
  <c r="AA44" i="4"/>
  <c r="AO44" i="4"/>
  <c r="AC102" i="4"/>
  <c r="Z57" i="4"/>
  <c r="Q57" i="4" s="1"/>
  <c r="AA64" i="4"/>
  <c r="Y44" i="4"/>
  <c r="M33" i="4"/>
  <c r="N33" i="4" s="1"/>
  <c r="O33" i="4" s="1"/>
  <c r="M57" i="4"/>
  <c r="M44" i="4"/>
  <c r="M87" i="4"/>
  <c r="N87" i="4" s="1"/>
  <c r="O87" i="4" s="1"/>
  <c r="AD87" i="4" s="1"/>
  <c r="M83" i="4"/>
  <c r="N83" i="4" s="1"/>
  <c r="O83" i="4" s="1"/>
  <c r="M96" i="4"/>
  <c r="N96" i="4" s="1"/>
  <c r="O96" i="4" s="1"/>
  <c r="M89" i="4"/>
  <c r="M90" i="4"/>
  <c r="M84" i="4"/>
  <c r="M74" i="4"/>
  <c r="M88" i="4"/>
  <c r="M112" i="4"/>
  <c r="M102" i="4"/>
  <c r="M54" i="4"/>
  <c r="N54" i="4" s="1"/>
  <c r="O54" i="4" s="1"/>
  <c r="M64" i="4"/>
  <c r="N64" i="4" s="1"/>
  <c r="M67" i="4"/>
  <c r="Q44" i="4" l="1"/>
  <c r="AA83" i="4"/>
  <c r="Q83" i="4" s="1"/>
  <c r="AD83" i="4"/>
  <c r="AP87" i="4"/>
  <c r="AF87" i="4" s="1"/>
  <c r="AE87" i="4"/>
  <c r="P54" i="4"/>
  <c r="AD54" i="4"/>
  <c r="AE54" i="4" s="1"/>
  <c r="Y33" i="4"/>
  <c r="AD33" i="4"/>
  <c r="AC96" i="4"/>
  <c r="Q96" i="4" s="1"/>
  <c r="AD96" i="4"/>
  <c r="AF44" i="4"/>
  <c r="Q102" i="4"/>
  <c r="Q64" i="4"/>
  <c r="P33" i="4"/>
  <c r="P96" i="4"/>
  <c r="P83" i="4"/>
  <c r="P87" i="4"/>
  <c r="AB87" i="4"/>
  <c r="Q87" i="4" s="1"/>
  <c r="O64" i="4"/>
  <c r="N82" i="4"/>
  <c r="O82" i="4" s="1"/>
  <c r="AD82" i="4" s="1"/>
  <c r="N74" i="4"/>
  <c r="O74" i="4" s="1"/>
  <c r="N102" i="4"/>
  <c r="O102" i="4" s="1"/>
  <c r="N90" i="4"/>
  <c r="O90" i="4" s="1"/>
  <c r="N84" i="4"/>
  <c r="O84" i="4" s="1"/>
  <c r="N89" i="4"/>
  <c r="O89" i="4" s="1"/>
  <c r="AD89" i="4" s="1"/>
  <c r="N112" i="4"/>
  <c r="O112" i="4" s="1"/>
  <c r="AD112" i="4" s="1"/>
  <c r="N88" i="4"/>
  <c r="O88" i="4" s="1"/>
  <c r="AD88" i="4" s="1"/>
  <c r="N57" i="4"/>
  <c r="O57" i="4" s="1"/>
  <c r="N116" i="4"/>
  <c r="N67" i="4"/>
  <c r="O67" i="4" s="1"/>
  <c r="AD67" i="4" s="1"/>
  <c r="N44" i="4"/>
  <c r="O44" i="4" s="1"/>
  <c r="AA161" i="4" l="1"/>
  <c r="AM82" i="4"/>
  <c r="AF82" i="4" s="1"/>
  <c r="AE82" i="4"/>
  <c r="P44" i="4"/>
  <c r="AD44" i="4"/>
  <c r="AE44" i="4" s="1"/>
  <c r="AP67" i="4"/>
  <c r="AP161" i="4" s="1"/>
  <c r="AE67" i="4"/>
  <c r="AQ96" i="4"/>
  <c r="AF96" i="4" s="1"/>
  <c r="AE96" i="4"/>
  <c r="P57" i="4"/>
  <c r="AD57" i="4"/>
  <c r="AE57" i="4" s="1"/>
  <c r="AM112" i="4"/>
  <c r="AF112" i="4" s="1"/>
  <c r="AE112" i="4"/>
  <c r="AC84" i="4"/>
  <c r="Q84" i="4" s="1"/>
  <c r="AD84" i="4"/>
  <c r="P102" i="4"/>
  <c r="AD102" i="4"/>
  <c r="AE102" i="4" s="1"/>
  <c r="AO83" i="4"/>
  <c r="AO161" i="4" s="1"/>
  <c r="AE83" i="4"/>
  <c r="P64" i="4"/>
  <c r="AD64" i="4"/>
  <c r="AE64" i="4" s="1"/>
  <c r="AM33" i="4"/>
  <c r="AE33" i="4"/>
  <c r="AQ88" i="4"/>
  <c r="AF88" i="4" s="1"/>
  <c r="AE88" i="4"/>
  <c r="AQ89" i="4"/>
  <c r="AF89" i="4" s="1"/>
  <c r="AE89" i="4"/>
  <c r="P74" i="4"/>
  <c r="AD74" i="4"/>
  <c r="AE74" i="4" s="1"/>
  <c r="AF102" i="4"/>
  <c r="AB67" i="4"/>
  <c r="AB161" i="4" s="1"/>
  <c r="P67" i="4"/>
  <c r="P89" i="4"/>
  <c r="AC89" i="4"/>
  <c r="Q89" i="4" s="1"/>
  <c r="P82" i="4"/>
  <c r="Y82" i="4"/>
  <c r="P84" i="4"/>
  <c r="Y112" i="4"/>
  <c r="Q112" i="4" s="1"/>
  <c r="P112" i="4"/>
  <c r="P90" i="4"/>
  <c r="Y90" i="4"/>
  <c r="Q90" i="4" s="1"/>
  <c r="P88" i="4"/>
  <c r="AC88" i="4"/>
  <c r="Q33" i="4"/>
  <c r="O116" i="4"/>
  <c r="AD116" i="4" s="1"/>
  <c r="AC161" i="4" l="1"/>
  <c r="AM116" i="4"/>
  <c r="AF116" i="4" s="1"/>
  <c r="AE116" i="4"/>
  <c r="AF67" i="4"/>
  <c r="AQ84" i="4"/>
  <c r="AQ161" i="4" s="1"/>
  <c r="AE84" i="4"/>
  <c r="AF83" i="4"/>
  <c r="Q67" i="4"/>
  <c r="Q82" i="4"/>
  <c r="Q88" i="4"/>
  <c r="P116" i="4"/>
  <c r="Y116" i="4"/>
  <c r="Y161" i="4" s="1"/>
  <c r="AM161" i="4" l="1"/>
  <c r="AF84" i="4"/>
  <c r="Q116" i="4"/>
  <c r="F8" i="4"/>
  <c r="G8" i="4" s="1"/>
  <c r="H8" i="4" s="1"/>
  <c r="I8" i="4" s="1"/>
  <c r="J8" i="4" s="1"/>
  <c r="K8" i="4" s="1"/>
  <c r="L8" i="4" s="1"/>
  <c r="M8" i="4" s="1"/>
  <c r="N8" i="4" s="1"/>
  <c r="O8" i="4" s="1"/>
  <c r="P8" i="4" s="1"/>
  <c r="Q8" i="4" l="1"/>
  <c r="AC8" i="4" s="1"/>
  <c r="AD8" i="4" s="1"/>
  <c r="AE8" i="4" s="1"/>
  <c r="AF8" i="4" s="1"/>
  <c r="AG8" i="4" s="1"/>
  <c r="AH8" i="4" s="1"/>
  <c r="AI8" i="4" s="1"/>
  <c r="AJ8" i="4" s="1"/>
  <c r="AK8" i="4" s="1"/>
  <c r="AL8" i="4" s="1"/>
  <c r="AM8" i="4" s="1"/>
  <c r="AN8" i="4" s="1"/>
  <c r="AO8" i="4" s="1"/>
  <c r="AP8" i="4" s="1"/>
  <c r="AQ8" i="4" s="1"/>
  <c r="I26" i="4"/>
  <c r="L26" i="4" s="1"/>
  <c r="M26" i="4" l="1"/>
  <c r="M161" i="4" s="1"/>
  <c r="Z26" i="4"/>
  <c r="G10" i="5"/>
  <c r="Q26" i="4" l="1"/>
  <c r="Q161" i="4" s="1"/>
  <c r="Z161" i="4"/>
  <c r="H9" i="5"/>
  <c r="G9" i="5"/>
  <c r="N26" i="4" l="1"/>
  <c r="N161" i="4" s="1"/>
  <c r="J9" i="5"/>
  <c r="L9" i="5" s="1"/>
  <c r="I9" i="5"/>
  <c r="K9" i="5" s="1"/>
  <c r="O26" i="4" l="1"/>
  <c r="O161" i="4" s="1"/>
  <c r="G8" i="5"/>
  <c r="H7" i="5"/>
  <c r="G7" i="5"/>
  <c r="AD26" i="4" l="1"/>
  <c r="AD161" i="4" s="1"/>
  <c r="P26" i="4"/>
  <c r="P161" i="4" s="1"/>
  <c r="J7" i="5"/>
  <c r="I7" i="5"/>
  <c r="AN26" i="4" l="1"/>
  <c r="AE26" i="4"/>
  <c r="AE161" i="4" s="1"/>
  <c r="K7" i="5"/>
  <c r="K11" i="5" s="1"/>
  <c r="I11" i="5"/>
  <c r="L7" i="5"/>
  <c r="L11" i="5" s="1"/>
  <c r="J11" i="5"/>
  <c r="G11" i="2"/>
  <c r="I11" i="2" s="1"/>
  <c r="J11" i="2" s="1"/>
  <c r="G10" i="2"/>
  <c r="I10" i="2" s="1"/>
  <c r="J10" i="2" s="1"/>
  <c r="G9" i="2"/>
  <c r="I9" i="2" s="1"/>
  <c r="J9" i="2" s="1"/>
  <c r="G8" i="2"/>
  <c r="I8" i="2" s="1"/>
  <c r="J8" i="2" s="1"/>
  <c r="G7" i="2"/>
  <c r="I7" i="2" s="1"/>
  <c r="J7" i="2" s="1"/>
  <c r="G6" i="2"/>
  <c r="I6" i="2" s="1"/>
  <c r="J6" i="2" s="1"/>
  <c r="G5" i="2"/>
  <c r="I5" i="2" s="1"/>
  <c r="J5" i="2" s="1"/>
  <c r="B5" i="2"/>
  <c r="B6" i="2" s="1"/>
  <c r="B7" i="2" s="1"/>
  <c r="B8" i="2" s="1"/>
  <c r="B9" i="2" s="1"/>
  <c r="B10" i="2" s="1"/>
  <c r="B11" i="2" s="1"/>
  <c r="G4" i="2"/>
  <c r="I4" i="2" s="1"/>
  <c r="J4" i="2" s="1"/>
  <c r="AN161" i="4" l="1"/>
  <c r="AF26" i="4"/>
  <c r="J12" i="2"/>
  <c r="AF33" i="4" l="1"/>
  <c r="AF146" i="4"/>
  <c r="AF161" i="4" s="1"/>
</calcChain>
</file>

<file path=xl/sharedStrings.xml><?xml version="1.0" encoding="utf-8"?>
<sst xmlns="http://schemas.openxmlformats.org/spreadsheetml/2006/main" count="888" uniqueCount="316">
  <si>
    <t>№ п/п</t>
  </si>
  <si>
    <t>Вид работ</t>
  </si>
  <si>
    <t>№ расценки</t>
  </si>
  <si>
    <t>Стоимость в ценах на 01.01.2015</t>
  </si>
  <si>
    <t>Дефлятор текущих цен</t>
  </si>
  <si>
    <t>Стоимость в текущих ценах</t>
  </si>
  <si>
    <t>Стоимость с НДС</t>
  </si>
  <si>
    <t>Кол-во, км</t>
  </si>
  <si>
    <t>ИТОГО</t>
  </si>
  <si>
    <t>Цена, млн. руб.</t>
  </si>
  <si>
    <t>млн. руб.</t>
  </si>
  <si>
    <t>заполнять</t>
  </si>
  <si>
    <t>не заполнять</t>
  </si>
  <si>
    <t>Расчет стоимости строительства КЛ</t>
  </si>
  <si>
    <t>Напряжение, кВ</t>
  </si>
  <si>
    <t>Норматив цены, млн. руб.</t>
  </si>
  <si>
    <t>Полная стоимость в текущих ценах</t>
  </si>
  <si>
    <t>Полная стоимость в текущих ценах с НДС</t>
  </si>
  <si>
    <t>Результаты расчетов объемов финансовых потребностей, необходимых для строительства (реконструкции) объектов электроэнергетики, выполненных в соответствии с укрупненными нормативами цены типовых технологических решений капитального строительства объектов электроэнергетики (Приказ Минэнерго от 08.02.2016 №75)</t>
  </si>
  <si>
    <t>Год раскрытия информации: 2018 год</t>
  </si>
  <si>
    <t>П3-03</t>
  </si>
  <si>
    <t>Л2-44-2</t>
  </si>
  <si>
    <t>Строительство ВЛ 35 кВ от ПС 110 кВ Вольная до ПС 35 кВ Весенняя (ПИР, СМР, ввод-2019г.)</t>
  </si>
  <si>
    <t>Строительство ВЛ 110 кВ Соколовская-Вольная-2 (ПИР, СМР, ввод-2019г.)</t>
  </si>
  <si>
    <t>Л1-44-4</t>
  </si>
  <si>
    <t>П3-10</t>
  </si>
  <si>
    <t>Полная стоимость в прогнозных ценах  с НДС</t>
  </si>
  <si>
    <t>Полная стоимость в прогнозных ценах</t>
  </si>
  <si>
    <t>Начальник производственно- технического отдела  филиала ООО ХК "СДС-Энерго"-"Прокопьевскэнерго"</t>
  </si>
  <si>
    <t>А.А. Гребенчук</t>
  </si>
  <si>
    <t xml:space="preserve"> Таблица 1. Строительство (реконструкция) ВЛ 6-750 кВ</t>
  </si>
  <si>
    <t>По объектам  инвестиционной программы ООО ХК "СДС-Энерго" на 2020 год</t>
  </si>
  <si>
    <t>Наименование</t>
  </si>
  <si>
    <t>км</t>
  </si>
  <si>
    <t>Коэффициент перехода (пересчета) от базового УНЦ к УНЦ субъектов РФ</t>
  </si>
  <si>
    <t>-</t>
  </si>
  <si>
    <t>ячейка</t>
  </si>
  <si>
    <t>Напряжение 6 кВ</t>
  </si>
  <si>
    <t>объект</t>
  </si>
  <si>
    <t>Л3-02-1</t>
  </si>
  <si>
    <t xml:space="preserve">Напряжение - 6 кВ, тип опор и количество цепей - одноцепная, все типы опор за исключением многогранных </t>
  </si>
  <si>
    <t>Л4-02-1</t>
  </si>
  <si>
    <t>тн опор</t>
  </si>
  <si>
    <t xml:space="preserve">Напряжение - 6 кВ,тип опор - все типы опор за исключением многогранных </t>
  </si>
  <si>
    <t>га</t>
  </si>
  <si>
    <t>Л7-04-3</t>
  </si>
  <si>
    <t>Количество фазных проводов - 1 шт, сечение фазного провода - 70 мм2, тип провода - СИП-3</t>
  </si>
  <si>
    <t>Технические характеристики</t>
  </si>
  <si>
    <t>Количество</t>
  </si>
  <si>
    <t>Единицы измерения</t>
  </si>
  <si>
    <t xml:space="preserve">Укрупненный норматив цены,  тыс рублей (без НДС) </t>
  </si>
  <si>
    <t>Величина затрат, тыс рублей (без НДС)</t>
  </si>
  <si>
    <t>НДС</t>
  </si>
  <si>
    <t xml:space="preserve">Итого объем финансовых потребностей, в ценах, в которых рассчитаны укрупненные нормативы цены с учетом переводного коэффициента (без НДС) </t>
  </si>
  <si>
    <t>Итого объем финансовых потребностей ОФПУНЦd, определенный в текущих ценах, в которых рассчитаны укрупненные нормативы цены  (с НДС)</t>
  </si>
  <si>
    <r>
      <rPr>
        <b/>
        <sz val="11"/>
        <rFont val="Times New Roman"/>
        <family val="1"/>
        <charset val="204"/>
      </rPr>
      <t xml:space="preserve">Объем финансовых потребностей </t>
    </r>
    <r>
      <rPr>
        <b/>
        <i/>
        <sz val="11"/>
        <rFont val="Times New Roman"/>
        <family val="1"/>
        <charset val="204"/>
      </rPr>
      <t>ОФП</t>
    </r>
    <r>
      <rPr>
        <b/>
        <i/>
        <vertAlign val="subscript"/>
        <sz val="11"/>
        <rFont val="Times New Roman"/>
        <family val="1"/>
        <charset val="204"/>
      </rPr>
      <t>ПР</t>
    </r>
    <r>
      <rPr>
        <b/>
        <i/>
        <vertAlign val="superscript"/>
        <sz val="11"/>
        <rFont val="Times New Roman"/>
        <family val="1"/>
        <charset val="204"/>
      </rPr>
      <t xml:space="preserve">УНЦ </t>
    </r>
    <r>
      <rPr>
        <b/>
        <sz val="11"/>
        <rFont val="Times New Roman"/>
        <family val="1"/>
        <charset val="204"/>
      </rPr>
      <t>(в прогнозных ценах с НДС)</t>
    </r>
  </si>
  <si>
    <r>
      <t xml:space="preserve">Объем финансирования инвестиций по инвестиционному проекту </t>
    </r>
    <r>
      <rPr>
        <b/>
        <i/>
        <sz val="11"/>
        <rFont val="Times New Roman"/>
        <family val="1"/>
        <charset val="204"/>
      </rPr>
      <t>ОФ</t>
    </r>
    <r>
      <rPr>
        <b/>
        <i/>
        <vertAlign val="subscript"/>
        <sz val="11"/>
        <rFont val="Times New Roman"/>
        <family val="1"/>
        <charset val="204"/>
      </rPr>
      <t>ПР</t>
    </r>
    <r>
      <rPr>
        <b/>
        <i/>
        <vertAlign val="superscript"/>
        <sz val="11"/>
        <rFont val="Times New Roman"/>
        <family val="1"/>
        <charset val="204"/>
      </rPr>
      <t>всего</t>
    </r>
    <r>
      <rPr>
        <b/>
        <sz val="11"/>
        <rFont val="Times New Roman"/>
        <family val="1"/>
        <charset val="204"/>
      </rPr>
      <t xml:space="preserve"> (в прогнозных ценах с НДС), в том числе:</t>
    </r>
  </si>
  <si>
    <t>Стоимость в ценах на 01.01.2018г.  с учетом коэффициента</t>
  </si>
  <si>
    <t>расценка</t>
  </si>
  <si>
    <t>коэф-т</t>
  </si>
  <si>
    <t>35/6</t>
  </si>
  <si>
    <t>6/0,4</t>
  </si>
  <si>
    <t>110/6</t>
  </si>
  <si>
    <t>Реконструкция ОРУ-35 кВ, ЗРУ-6 кВ ПС 35/6 кВ № 42 с устройством РЗиА и установкой ШОТ (ПИР - 2023 г., СМР, ввод - 2026 г.)</t>
  </si>
  <si>
    <t>Реконструкция РУ-6 кВ, РЗА  ПС 35/6 кВ № 41 с установкой блок-модулей 1, 2 сек.6 кВ с ОПУ (ПИР - 2016 г., СМР, ввод - 2025 г.)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</si>
  <si>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</si>
  <si>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</si>
  <si>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110/35/6</t>
  </si>
  <si>
    <t>Замена трансформатора ТСН-2  6/0,23 кВ 250 кВА на ПС 35/6 кВ № 1 (СМР, ввод - 2025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</si>
  <si>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</si>
  <si>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</si>
  <si>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</si>
  <si>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0,4</t>
  </si>
  <si>
    <t>Реконструкция ВЛ 35 кВ, 35-К-10, 35-К-12 в части замены опор (ПИР - 2028 г., СМР, ввод - 2029 г.)</t>
  </si>
  <si>
    <t>35</t>
  </si>
  <si>
    <t>Дооборудование ВЛ 10 кВ 10-20-МП с установкой 1 реклоузера (ПИР, СМР, ввод - 2025 г.)</t>
  </si>
  <si>
    <t>10</t>
  </si>
  <si>
    <t>Дооборудование ВЛ 10 кВ 10-18-П отпайка с установкой 1 реклоузера (ПИР, СМР, ввод - 2025 г.)</t>
  </si>
  <si>
    <t>В2-05-1</t>
  </si>
  <si>
    <t>Напряжение 35 кВ, номинальный ток 2000 А, номинальный ток отключения 25 кА</t>
  </si>
  <si>
    <t>Напряжение - 6 кВ, номинальный ток 1000 А, номинальный ток отключения 25 кА</t>
  </si>
  <si>
    <t>В2-02-1</t>
  </si>
  <si>
    <t>единица</t>
  </si>
  <si>
    <t>Шкаф ТН 35кВ</t>
  </si>
  <si>
    <t>Напряжение 6 кВ, номинальный ток 1600 А, номинальный ток отключения 25 кА</t>
  </si>
  <si>
    <t>Б1-10</t>
  </si>
  <si>
    <t>кв.м</t>
  </si>
  <si>
    <t>Кемеровская обл.</t>
  </si>
  <si>
    <t>В2-01-1</t>
  </si>
  <si>
    <t>Напряжение 6 кВ, номинальный ток 630 А, номинальный ток отключения 25 кА</t>
  </si>
  <si>
    <t>В2-03-1</t>
  </si>
  <si>
    <t>Шкаф ТН 6-35кВ</t>
  </si>
  <si>
    <t>А4-01</t>
  </si>
  <si>
    <t>План</t>
  </si>
  <si>
    <t>Напряжение 35кВ</t>
  </si>
  <si>
    <t>Н3-01-2</t>
  </si>
  <si>
    <t xml:space="preserve">Сечение жилы 1,5мм кв., кол-во жил - 5 шт. </t>
  </si>
  <si>
    <t>Н3-02-1</t>
  </si>
  <si>
    <t xml:space="preserve">Сечение жилы 2,5мм кв., кол-во жил - 4 шт. </t>
  </si>
  <si>
    <t>П6-10</t>
  </si>
  <si>
    <t>Напряжение 35 кВ</t>
  </si>
  <si>
    <t>А4-02</t>
  </si>
  <si>
    <t>П6-09</t>
  </si>
  <si>
    <t>П2-02</t>
  </si>
  <si>
    <t xml:space="preserve">Ячейка выкл. 110кВ </t>
  </si>
  <si>
    <t xml:space="preserve">Шкаф центр.сигнализ. ПС 110 кВ </t>
  </si>
  <si>
    <t>П5-01</t>
  </si>
  <si>
    <t>1 км по трассе</t>
  </si>
  <si>
    <t>В3-01-1</t>
  </si>
  <si>
    <t>Напряжение 6 кВ, номинальный ток 1000 А, номинальный ток отключения 20 кА</t>
  </si>
  <si>
    <t>В3-03-2</t>
  </si>
  <si>
    <t>А5-01</t>
  </si>
  <si>
    <t>Шкаф ЦК ПС</t>
  </si>
  <si>
    <t>ИВКЭ для ПС 35кВ и выше</t>
  </si>
  <si>
    <t>И5-06-3</t>
  </si>
  <si>
    <t>Разъед. на три полюса, напряжение 110кВ</t>
  </si>
  <si>
    <t>Аккумуляторная батарея, емкость 350 А/ч</t>
  </si>
  <si>
    <t>Мощность 16 МВА, двухобмоточный трансформатор напряжением 35кВ</t>
  </si>
  <si>
    <t>Т4-06-1</t>
  </si>
  <si>
    <t>Мощность 10 МВА, двухобмоточный трансформатор напряжением 35 кВ</t>
  </si>
  <si>
    <t>П3-02</t>
  </si>
  <si>
    <t>Напряжение 6кВ, протяженность 2км</t>
  </si>
  <si>
    <t>В6-01</t>
  </si>
  <si>
    <t>К3-03-2</t>
  </si>
  <si>
    <t>Сечение жилы 35 мм.кв., медная жила кол-во 4</t>
  </si>
  <si>
    <t>К3-04-5</t>
  </si>
  <si>
    <t>Сечение жилы 50 мм.кв., медная жила кол-во 5</t>
  </si>
  <si>
    <t>К3-05-2</t>
  </si>
  <si>
    <t>Сечение жилы 75 мм.кв., медная жила кол-во 4</t>
  </si>
  <si>
    <t>Н2-01</t>
  </si>
  <si>
    <t>1 м. по трассе</t>
  </si>
  <si>
    <t>Металические лотки и короба</t>
  </si>
  <si>
    <t>Н2-04</t>
  </si>
  <si>
    <t>Кабельная эстакада</t>
  </si>
  <si>
    <t>Напряжение 0,4 кВ</t>
  </si>
  <si>
    <t>П5-02</t>
  </si>
  <si>
    <t>Л5-04</t>
  </si>
  <si>
    <t>Сечение фазного провода - 150 мм2, сталеалюминевый</t>
  </si>
  <si>
    <t>Л3-03-2</t>
  </si>
  <si>
    <t xml:space="preserve">Напряжение - 35 кВ, тип опор и количество цепей - двухцепная, все типы опор за исключением многогранных </t>
  </si>
  <si>
    <t>Л4-03-1</t>
  </si>
  <si>
    <t xml:space="preserve">Напряжение - 35 кВ,тип опор - все типы опор за исключением многогранных </t>
  </si>
  <si>
    <t>Л6-06</t>
  </si>
  <si>
    <t>Диаметр 13,2 мм</t>
  </si>
  <si>
    <t>Л2-03-2</t>
  </si>
  <si>
    <t xml:space="preserve">Напряжение 35кВ, двухцепная, все типы опор за исключением многогранных </t>
  </si>
  <si>
    <t>Л1-03-2</t>
  </si>
  <si>
    <t>М2-03-2</t>
  </si>
  <si>
    <t>Напряжение 35кВ, количество цепей - 2шт.</t>
  </si>
  <si>
    <t>Напряжение 35кВ, гирлянда изоляторов</t>
  </si>
  <si>
    <t>Напряжение 10 кВ</t>
  </si>
  <si>
    <t>Л2-02-1</t>
  </si>
  <si>
    <t xml:space="preserve">Напряжение - 10 кВ,тип опор - все типы опор за исключением многогранных </t>
  </si>
  <si>
    <t xml:space="preserve">Напряжение - 10 кВ, тип опор и количество цепей - одноцепная, все типы опор за исключением многогранных </t>
  </si>
  <si>
    <t>Т4-07-1</t>
  </si>
  <si>
    <t>Мощность 250 кВА, двухобмоточный трансформатор маслянный 6кВ</t>
  </si>
  <si>
    <t xml:space="preserve">Реконструкция ПС 35/6 кВ № 31 с заменой ячеек 6 кВ с масляными выключателями на вакуумные с устройствами РЗиА (ПИР - 2026 г., СМР, ввод - 2027 г.) </t>
  </si>
  <si>
    <t xml:space="preserve">Реконструкция ВЛ фид. 16 ПС 6/0,4 кВ № 20ст с заменой опор, линейной арматуры, провода на СИП и установкой 1 реклоузера (ПИР, СМР, ввод - 2025 г.) 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</si>
  <si>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</si>
  <si>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>П1-01</t>
  </si>
  <si>
    <t>ед.</t>
  </si>
  <si>
    <t>Класс напряжения ПС 35/6 кВ</t>
  </si>
  <si>
    <t>И13-04</t>
  </si>
  <si>
    <t>И12-03</t>
  </si>
  <si>
    <t>Шкаф с зарядно-подзарядными устройствами ток 100А</t>
  </si>
  <si>
    <t>Ц1-84-1</t>
  </si>
  <si>
    <t>И11-45</t>
  </si>
  <si>
    <t>Шкафы РЗА 1 архитектуры. Комплект защит тр-ра с высшим напряжением 35кВ, с функциями ПА</t>
  </si>
  <si>
    <t>Ц1-84-6</t>
  </si>
  <si>
    <t>И11-39</t>
  </si>
  <si>
    <t>Шкафы РЗА 1 архитектуры. Комплект защит и автоматики вводного выкл. 35кВ</t>
  </si>
  <si>
    <t>Ц1-84-7</t>
  </si>
  <si>
    <t>И11-59</t>
  </si>
  <si>
    <t>Шкафы РЗА 2 архитектуры, диферрециальная защита ошиновки 35 кВ (2компл.), УРОВ, АУВ</t>
  </si>
  <si>
    <t>Шкаф с зарядно-подзарядными устройствами, номинальный ток 100А</t>
  </si>
  <si>
    <t>Ц1-84-5</t>
  </si>
  <si>
    <t>А3-09-3</t>
  </si>
  <si>
    <t>Ц1-84-3</t>
  </si>
  <si>
    <t>ТМ/ССПИ на КРУ(Н) 6-35 кВ с интеграцией в сущ. АСУТП ПС с кол-вом яч. 4-7</t>
  </si>
  <si>
    <t>И11-94</t>
  </si>
  <si>
    <t>Шкафы РЗА 2 архитектуры, Шкаф автоматики регулирования напряжения в двух трансформаторах</t>
  </si>
  <si>
    <t>И12-02</t>
  </si>
  <si>
    <t>И12-01-1</t>
  </si>
  <si>
    <t>Шкаф РАС 1 архитектуры с общ. Кол-вом аналоговых и дискретных сигналов: 32 шт. (для ПС с кол-вом присоединений 110 кВ до 2)</t>
  </si>
  <si>
    <t>И11-31</t>
  </si>
  <si>
    <t>Шкаф РЗА 1 архитектуры. Комплект защит тр-ра 110кВ и ошиновки 6-35кВ</t>
  </si>
  <si>
    <t>А2-02</t>
  </si>
  <si>
    <t>А3-07-1</t>
  </si>
  <si>
    <t>ТМ/ССПИ на ПС 110 кВ с кол-вом присоедин классом напряжения 35кВ и выше:2-3</t>
  </si>
  <si>
    <t>И12-09</t>
  </si>
  <si>
    <t>И13-02</t>
  </si>
  <si>
    <t xml:space="preserve">Шкаф отходящих линий (12 ед.) на постоянном токе с АВ </t>
  </si>
  <si>
    <t>Ц1-84-4</t>
  </si>
  <si>
    <t>Т5.1-06-1</t>
  </si>
  <si>
    <t>Ц2-84-9</t>
  </si>
  <si>
    <t>Ц2-84-43</t>
  </si>
  <si>
    <t>Б7-02</t>
  </si>
  <si>
    <t>Расчистка кустарников и мелколесья, вырубка деревьев  с диаметром ствола до 11 см. 12 см и более</t>
  </si>
  <si>
    <t>Ц1-84-10</t>
  </si>
  <si>
    <t>Ц2-84-12</t>
  </si>
  <si>
    <t>Ц2-84-17</t>
  </si>
  <si>
    <t>Ц2-84-42</t>
  </si>
  <si>
    <t>Л10-01-2</t>
  </si>
  <si>
    <t>Ц1-84-8</t>
  </si>
  <si>
    <t>Расчистка кустарников и мелколесья, вырубка деревьев с диаметром ствола до 11 см. 12 см и более</t>
  </si>
  <si>
    <t>Напряжение - 10 кВ,тип опор - все типы опор за исключением многогранных, количество цепей-одноцепная</t>
  </si>
  <si>
    <t>Л1-02-1</t>
  </si>
  <si>
    <t>Ц2-84-2</t>
  </si>
  <si>
    <t>Реконструкция ЗРУ-35 кВ ПС 35/6 кВ "ОГР" с заменой ячеек КРУ-35. (ПИР - 2022 г.СМР, ПНР, ввод - 2024 г.)</t>
  </si>
  <si>
    <t>В3-14-1</t>
  </si>
  <si>
    <t>Напряжение - 35 кВ, номинальный ток - 1000 А, номинальный ток напряжения - 25 кА</t>
  </si>
  <si>
    <t>нд</t>
  </si>
  <si>
    <t>П6-11</t>
  </si>
  <si>
    <t xml:space="preserve">Реконструкция ОРУ-35 кВ ПС 35/6 кВ № 41 с установкой блок-модуля 35 кВ (СМР, ПНР, ввод - 2024 г.) </t>
  </si>
  <si>
    <t>Напряжение - 35 кВ, номинальный ток - 2000 А, номинальный ток напряжения - 25 кА</t>
  </si>
  <si>
    <t>П2-01</t>
  </si>
  <si>
    <t>Напряжение - 35 кВ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</si>
  <si>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(ПИР-2023, СМР, ПНР, ввод - 2024 г.)</t>
  </si>
  <si>
    <t>Мощность - 10 МВА, обозначение двухобмоточного трансформатора - 35 кВ</t>
  </si>
  <si>
    <t>П6-06</t>
  </si>
  <si>
    <t>Замена Траснсформатора Т-1 типа ТМ-1600кВА (инв.№ 00002155) ПС №29 (СМР, ПНР, ввод - 2024 г.)</t>
  </si>
  <si>
    <t>Т5-22-1</t>
  </si>
  <si>
    <t>Двухобмоточный тр-р  масленный, напряжение Т-6/0,4</t>
  </si>
  <si>
    <t>Замена КТП 160 кВА типа КТПН-ВК-1А-160/10/0,4 (инв.№ 00001390)  на ТП "Ключи" без силового трансформатора (СМР, ПНР, ввод - 2024 г.)</t>
  </si>
  <si>
    <t>10/0,4</t>
  </si>
  <si>
    <t>Э1-05-1</t>
  </si>
  <si>
    <t>Мощность кВА-160, количество трансформаторов - 1 шт.</t>
  </si>
  <si>
    <t>Ц1-84-2</t>
  </si>
  <si>
    <t>Замена КТП 250 кВА (инв.№ 00001389) на ПС №6 (СМР, ПНР, ввод - 2024 г.)</t>
  </si>
  <si>
    <t>Э1-06-1</t>
  </si>
  <si>
    <t>Мощность кВА-250, количество трансформаторов - 1 шт.</t>
  </si>
  <si>
    <t>Замена КТП 250 кВА (инв.№ 00001388) Ново-Сафоново (СМР, ПНР, ввод - 2024 г.)</t>
  </si>
  <si>
    <t>Замена шкафа оперативного постоянного тока ШОТ-1 (инв.№00002332) подстанции 6/0,4кВ №26 на новый (СМР, ПНР, ввод - 2024 г.)</t>
  </si>
  <si>
    <t>Замена шкафа ШОТ1М-220-12-17-60-6-24-21УХЛ3.1 (инв.№00003555) подстанции 110/6кВ «Листвяжная» на новый (СМР, ПНР, ввод - 2024 г.)</t>
  </si>
  <si>
    <t xml:space="preserve">Строительство сооружения линейного электротехнического: отпайка от ВЛЗ-6 кВ ф.2 ПС №10 для резервного питания ПС № 22  (ПИР, СМР, ПНР, ввод - 2024 г.)   </t>
  </si>
  <si>
    <t xml:space="preserve">Реконструкция ПС 110/35/6 кВ      № 37 с заменой, вводных и секционного   масляных выключателей на вакуумные и устройств РЗиА по стороне 6, 35, 110 кВ (ПИР - 2028 г., СМР, ввод - 2029 г.) </t>
  </si>
  <si>
    <t>По объектам  инвестиционной программы ООО ХК "СДС-Энерго" 2024 - 2029 годов</t>
  </si>
  <si>
    <t>Результаты расчетов объемов финансовых потребностей, необходимых для строительства (реконструкции) объектов электроэнергетики, выполненных в соответствии с укрупненными нормативами цены типовых технологических решений капитального строительства объектов электроэнергетики  (Приказ Минэнерго от 26.02.2024 №131)</t>
  </si>
  <si>
    <t xml:space="preserve">Затраты по УНЦ от 151 до 301 </t>
  </si>
  <si>
    <t>Затраты по УНЦ от 51  до 151</t>
  </si>
  <si>
    <t>Затраты по УНЦ от 1,1 до 6</t>
  </si>
  <si>
    <t>Затраты по УНЦ от 21  до 51 млн.руб.</t>
  </si>
  <si>
    <t>Л7-06-3</t>
  </si>
  <si>
    <t>Количество фазных проводов - 1 шт, сечение фазного провода - 120 мм2, тип провода - СИП-3</t>
  </si>
  <si>
    <t>К1-05-1</t>
  </si>
  <si>
    <t xml:space="preserve">Сечение жилы 120 мм2, напряжение 6кВ  </t>
  </si>
  <si>
    <t>П3-04</t>
  </si>
  <si>
    <t>Напряжение 0,4-20 кВ, протяженность - 6 км</t>
  </si>
  <si>
    <t>Строительство ЛЭП-6 кВ от линейной ячейки №8 ПС 35 кВ №5 (СМР, ввод - 2024 г.)</t>
  </si>
  <si>
    <t>Реконструкция ПС 35/6 кВ "Шурапская" с заменой ячеек К-65 на блок-модуль ЗРУ-35 с устройствами РЗиА (ПИР, СМР, ПНР, ввод - 2025 г.)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</si>
  <si>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</si>
  <si>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Замена отработавшего срок эксплуатации трансформатора Т-2 ТДНС-10000 кВА  на ПС 35/6 кВ ПС № 10 (СМР, ввод - 2026 г.)</t>
  </si>
  <si>
    <t>Замена отработавшего срок эксплуатации трансформатора Т-2 ТДНС-16000 кВА  на ПС 35/6 кВ Шурапская (СМР, ввод - 2027 г.)</t>
  </si>
  <si>
    <t>Замена отработавшего срок эксплуатации трансформатора Т-3 ТДНС-16000 кВА  на ПС 35/6 кВ ПС № 1 (СМР, ввод - 2028 г.)</t>
  </si>
  <si>
    <t>Замена разъединителей 110 кВ на ПС 110/35/6 кВ  № 37 (СМР, ввод - 2027 г.)</t>
  </si>
  <si>
    <t>Замена ЗРУ-6 кВ ПС 6/0,4 кВ №3 на 2КТП 630/6/0,4  (СМР, ввод - 2029 г.)</t>
  </si>
  <si>
    <t>Э1-08-1</t>
  </si>
  <si>
    <t>ед</t>
  </si>
  <si>
    <t>Мощность кВА-630, количество трансформаторов - 2 шт.</t>
  </si>
  <si>
    <t>Б7-03</t>
  </si>
  <si>
    <t>Расчистка кустарников и мелколесья, вырубка деревьев  и корчевка пней с диаметром ствола до 11 см. 12 см и более</t>
  </si>
  <si>
    <t>Л9-01</t>
  </si>
  <si>
    <t>Устройство лежневых дорог</t>
  </si>
  <si>
    <t>П6-08</t>
  </si>
  <si>
    <t>Затраты по УНЦ от 11  до 20,9 млн.руб.</t>
  </si>
  <si>
    <t>Год раскрытия информации: 2025 год</t>
  </si>
  <si>
    <t>Предложение по корректировке утвержденного плана</t>
  </si>
  <si>
    <t>Дефлятор:
2024-2029 гг. от 30.09.2024г.</t>
  </si>
  <si>
    <t>Реконструкция РЗиА 6, 35 кВ, ЗРУ-6, 35 кВ,  ПС 35/6 кВ № 1 с  установкой ШОТ (ПИР - 2026 г., СМР, ввод - 2027 г., 2028 г.)</t>
  </si>
  <si>
    <t>Замена аккумуляторных батарей и зарядного устройства на ПС 110/35/6 кВ № 37 (СМР, ввод - 2029 г.)</t>
  </si>
  <si>
    <t>Строительство сетей 0,4 кВ на промплощадке Филиала ООО ХК "СДС-Энерго"-"Прокопьевскэнерго" (ПИР, СМР, ввод - 2029 г.)</t>
  </si>
  <si>
    <t>Напряжение - 6 кВ,тип опор - все типы опор за исключением многогранных, количество цепей-одноцепная</t>
  </si>
  <si>
    <t>Э1-03-1</t>
  </si>
  <si>
    <t>Мощность кВА-63, количество трансформаторов - 1 шт.</t>
  </si>
  <si>
    <t>Л7-02-3</t>
  </si>
  <si>
    <t>Количество фазных проводов - 1 шт, сечение фазного провода - 35 мм2, тип провода - СИП-3</t>
  </si>
  <si>
    <t>Напряжение 0,4-20 кВ, протяженность - 2 км</t>
  </si>
  <si>
    <t>Строительство ВЛ3-6 кВ от ПС №25 и КТП (ПИР, СМР, ввод - 2024 г.)</t>
  </si>
  <si>
    <t>10; 0,4</t>
  </si>
  <si>
    <t>Л1-01-1</t>
  </si>
  <si>
    <t>Напряжение - 0,4 кВ,тип опор - все типы опор за исключением многогранных, количество цепей-одноцепная</t>
  </si>
  <si>
    <t>Ц2-84-18</t>
  </si>
  <si>
    <t>Отпайка от ЛЭП-10 кВ 10-18-П по ИП 10/0,4 кВ ГРС, ЛЭП-0,4 кВ "Газпром газификация" (ПИР, СМР, ввод - 2024 г.)</t>
  </si>
  <si>
    <t>Строительство ВЛЗ-6кВ ф.26 ПС 110 кВ №37 до зем.уч-ка кадастр.номер 42:10:0201006:201 (ПИР-2024, СМР, ввод - 2025 г.)</t>
  </si>
  <si>
    <t>Л5-03</t>
  </si>
  <si>
    <t>Сечение фазного провода - 120 мм2</t>
  </si>
  <si>
    <t>К1-06-1</t>
  </si>
  <si>
    <t xml:space="preserve">Сечение жилы 150 мм2, напряжение 6кВ  </t>
  </si>
  <si>
    <t>Напряжение - 6 кВ, протяженность - 6 км.</t>
  </si>
  <si>
    <t>Строительство КТП-5а и КЛ №111 от КТП-5 до КТП-5а (ПИР, СМР-2025г.)</t>
  </si>
  <si>
    <t>К1-05-2</t>
  </si>
  <si>
    <t>Затраты по УНЦ от 1,1  до 5,9 млн.руб.</t>
  </si>
  <si>
    <t>Строительство КЛ ф.6-2-8 от ПС Лутугинская (СМР-2025г.)</t>
  </si>
  <si>
    <t xml:space="preserve">Сечение жилы 120 мм2, напряжение 10 кВ  </t>
  </si>
  <si>
    <t>1 км по трассе, напряжение - 10 кВ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</si>
  <si>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</si>
  <si>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К1-04-2</t>
  </si>
  <si>
    <t xml:space="preserve">Сечение жилы 95 мм2, напряжение 10 кВ  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</si>
  <si>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</si>
  <si>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</si>
  <si>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</si>
  <si>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</si>
  <si>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</si>
  <si>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</si>
  <si>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</si>
  <si>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</si>
  <si>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</si>
  <si>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</si>
  <si>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</si>
  <si>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</si>
  <si>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</si>
  <si>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</si>
  <si>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</si>
  <si>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</si>
  <si>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</si>
  <si>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21.04.2025 08:32:32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</si>
</sst>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vertAlign val="subscript"/>
      <sz val="11"/>
      <name val="Times New Roman"/>
      <family val="1"/>
      <charset val="204"/>
    </font>
    <font>
      <b/>
      <i/>
      <vertAlign val="superscript"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16" fillId="0" borderId="0"/>
  </cellStyleXfs>
  <cellXfs count="160">
    <xf numFmtId="0" fontId="0" fillId="0" borderId="0" xfId="0"/>
    <xf numFmtId="164" fontId="0" fillId="2" borderId="1" xfId="0" applyNumberFormat="1" applyFill="1" applyBorder="1"/>
    <xf numFmtId="0" fontId="0" fillId="2" borderId="1" xfId="0" applyFill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/>
    <xf numFmtId="0" fontId="0" fillId="3" borderId="0" xfId="0" applyFill="1" applyAlignment="1"/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/>
    <xf numFmtId="164" fontId="2" fillId="4" borderId="1" xfId="0" applyNumberFormat="1" applyFont="1" applyFill="1" applyBorder="1"/>
    <xf numFmtId="0" fontId="0" fillId="4" borderId="0" xfId="0" applyFill="1"/>
    <xf numFmtId="0" fontId="0" fillId="2" borderId="0" xfId="0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164" fontId="4" fillId="0" borderId="3" xfId="0" applyNumberFormat="1" applyFont="1" applyFill="1" applyBorder="1"/>
    <xf numFmtId="0" fontId="4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164" fontId="5" fillId="0" borderId="3" xfId="0" applyNumberFormat="1" applyFont="1" applyFill="1" applyBorder="1"/>
    <xf numFmtId="164" fontId="0" fillId="0" borderId="0" xfId="0" applyNumberFormat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7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9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7" fillId="0" borderId="0" xfId="0" applyFont="1" applyFill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Border="1"/>
    <xf numFmtId="0" fontId="7" fillId="0" borderId="8" xfId="0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3" fontId="12" fillId="0" borderId="0" xfId="0" applyNumberFormat="1" applyFont="1" applyFill="1"/>
    <xf numFmtId="4" fontId="12" fillId="0" borderId="0" xfId="0" applyNumberFormat="1" applyFont="1" applyFill="1"/>
    <xf numFmtId="166" fontId="12" fillId="0" borderId="0" xfId="0" applyNumberFormat="1" applyFont="1" applyFill="1"/>
    <xf numFmtId="0" fontId="14" fillId="0" borderId="0" xfId="0" applyFont="1" applyFill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wrapText="1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/>
    </xf>
    <xf numFmtId="3" fontId="14" fillId="0" borderId="0" xfId="0" applyNumberFormat="1" applyFont="1" applyFill="1"/>
    <xf numFmtId="0" fontId="7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0" fontId="12" fillId="0" borderId="7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wrapText="1"/>
    </xf>
    <xf numFmtId="3" fontId="7" fillId="5" borderId="3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top" wrapText="1"/>
    </xf>
    <xf numFmtId="164" fontId="4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165" fontId="7" fillId="0" borderId="6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3" fontId="7" fillId="5" borderId="4" xfId="0" applyNumberFormat="1" applyFont="1" applyFill="1" applyBorder="1" applyAlignment="1">
      <alignment horizontal="center" vertical="center"/>
    </xf>
    <xf numFmtId="3" fontId="7" fillId="5" borderId="5" xfId="0" applyNumberFormat="1" applyFont="1" applyFill="1" applyBorder="1" applyAlignment="1">
      <alignment horizontal="center" vertical="center"/>
    </xf>
    <xf numFmtId="3" fontId="7" fillId="5" borderId="6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right"/>
    </xf>
    <xf numFmtId="0" fontId="9" fillId="0" borderId="7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1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9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0" borderId="19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0" fontId="1" fillId="0" borderId="19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</cellXfs>
  <cellStyles count="4">
    <cellStyle name="Обычный" xfId="0" builtinId="0"/>
    <cellStyle name="Обычный 3" xfId="3" xr:uid="{00000000-0005-0000-0000-000001000000}"/>
    <cellStyle name="Обычный 7" xfId="1" xr:uid="{00000000-0005-0000-0000-000002000000}"/>
    <cellStyle name="Обычный 7 2" xfId="2" xr:uid="{00000000-0005-0000-0000-000003000000}"/>
  </cellStyles>
  <dxfs count="0"/>
  <tableStyles count="0" defaultTableStyle="TableStyleMedium2" defaultPivotStyle="PivotStyleMedium9"/>
  <colors>
    <mruColors>
      <color rgb="FFBFFDFA"/>
      <color rgb="FFFFFFE5"/>
      <color rgb="FF9AFAFC"/>
      <color rgb="FF89E2F7"/>
      <color rgb="FFFFFF99"/>
      <color rgb="FFFF0066"/>
      <color rgb="FFFFD9FF"/>
      <color rgb="FF93FBAE"/>
      <color rgb="FFE7FF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422AB938-EAF7-451D-B209-38F5E6B83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view="pageBreakPreview" zoomScale="80" zoomScaleNormal="100" zoomScaleSheetLayoutView="80" workbookViewId="0">
      <selection activeCell="F10" sqref="F10"/>
    </sheetView>
  </sheetViews>
  <sheetFormatPr defaultRowHeight="15" x14ac:dyDescent="0.25"/>
  <cols>
    <col min="1" max="1" width="5.85546875" customWidth="1"/>
    <col min="2" max="2" width="40" customWidth="1"/>
    <col min="3" max="3" width="9.7109375" customWidth="1"/>
    <col min="4" max="4" width="9.28515625" customWidth="1"/>
    <col min="5" max="6" width="12.7109375" customWidth="1"/>
    <col min="7" max="7" width="12" customWidth="1"/>
    <col min="8" max="8" width="11.5703125" customWidth="1"/>
    <col min="9" max="10" width="12.7109375" customWidth="1"/>
    <col min="11" max="11" width="15.42578125" customWidth="1"/>
    <col min="12" max="12" width="16.42578125" customWidth="1"/>
  </cols>
  <sheetData>
    <row r="1" spans="1:12" ht="49.5" customHeight="1" x14ac:dyDescent="0.25">
      <c r="A1" s="82" t="s">
        <v>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22.5" customHeight="1" x14ac:dyDescent="0.25">
      <c r="A2" s="82" t="s">
        <v>31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2" ht="22.5" customHeight="1" x14ac:dyDescent="0.25">
      <c r="A3" s="20"/>
      <c r="B3" s="20"/>
      <c r="C3" s="20"/>
      <c r="D3" s="20"/>
      <c r="E3" s="82" t="s">
        <v>19</v>
      </c>
      <c r="F3" s="83"/>
      <c r="G3" s="83"/>
      <c r="H3" s="83"/>
      <c r="I3" s="83"/>
      <c r="J3" s="20"/>
      <c r="K3" s="21"/>
      <c r="L3" s="20"/>
    </row>
    <row r="4" spans="1:12" ht="22.5" customHeight="1" x14ac:dyDescent="0.25">
      <c r="A4" s="15"/>
      <c r="B4" s="16"/>
      <c r="C4" s="16"/>
      <c r="D4" s="16"/>
      <c r="E4" s="16"/>
      <c r="F4" s="16"/>
      <c r="G4" s="16" t="s">
        <v>30</v>
      </c>
      <c r="H4" s="16"/>
      <c r="I4" s="16"/>
      <c r="J4" s="16"/>
      <c r="K4" s="16"/>
      <c r="L4" s="17" t="s">
        <v>10</v>
      </c>
    </row>
    <row r="5" spans="1:12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ht="88.5" customHeight="1" x14ac:dyDescent="0.25">
      <c r="A6" s="18" t="s">
        <v>0</v>
      </c>
      <c r="B6" s="18" t="s">
        <v>1</v>
      </c>
      <c r="C6" s="18" t="s">
        <v>7</v>
      </c>
      <c r="D6" s="18" t="s">
        <v>14</v>
      </c>
      <c r="E6" s="18" t="s">
        <v>2</v>
      </c>
      <c r="F6" s="18" t="s">
        <v>15</v>
      </c>
      <c r="G6" s="18" t="s">
        <v>3</v>
      </c>
      <c r="H6" s="18" t="s">
        <v>4</v>
      </c>
      <c r="I6" s="18" t="s">
        <v>16</v>
      </c>
      <c r="J6" s="18" t="s">
        <v>17</v>
      </c>
      <c r="K6" s="18" t="s">
        <v>27</v>
      </c>
      <c r="L6" s="18" t="s">
        <v>26</v>
      </c>
    </row>
    <row r="7" spans="1:12" x14ac:dyDescent="0.25">
      <c r="A7" s="85">
        <v>1</v>
      </c>
      <c r="B7" s="87" t="s">
        <v>22</v>
      </c>
      <c r="C7" s="89">
        <v>5.12</v>
      </c>
      <c r="D7" s="93">
        <v>35</v>
      </c>
      <c r="E7" s="27" t="s">
        <v>20</v>
      </c>
      <c r="F7" s="22">
        <v>3</v>
      </c>
      <c r="G7" s="22">
        <f>F7/5*C7</f>
        <v>3.0720000000000001</v>
      </c>
      <c r="H7" s="91">
        <f t="shared" ref="H7" si="0">1.063*1.044*1.046</f>
        <v>1.1608215120000001</v>
      </c>
      <c r="I7" s="91">
        <f>SUM(G7:G8)*H7</f>
        <v>48.854798482636809</v>
      </c>
      <c r="J7" s="91">
        <f>SUM(G7:G8)*H7*1.18</f>
        <v>57.648662209511429</v>
      </c>
      <c r="K7" s="91">
        <f>I7*1.044</f>
        <v>51.004409615872831</v>
      </c>
      <c r="L7" s="91">
        <f>J7*1.044/1.18*1.2</f>
        <v>61.205291539047394</v>
      </c>
    </row>
    <row r="8" spans="1:12" ht="30" customHeight="1" x14ac:dyDescent="0.25">
      <c r="A8" s="86"/>
      <c r="B8" s="88"/>
      <c r="C8" s="90"/>
      <c r="D8" s="94"/>
      <c r="E8" s="27" t="s">
        <v>21</v>
      </c>
      <c r="F8" s="22">
        <v>7.62</v>
      </c>
      <c r="G8" s="22">
        <f>F8*C7</f>
        <v>39.014400000000002</v>
      </c>
      <c r="H8" s="92"/>
      <c r="I8" s="92"/>
      <c r="J8" s="92"/>
      <c r="K8" s="92"/>
      <c r="L8" s="92"/>
    </row>
    <row r="9" spans="1:12" x14ac:dyDescent="0.25">
      <c r="A9" s="85">
        <v>2</v>
      </c>
      <c r="B9" s="87" t="s">
        <v>23</v>
      </c>
      <c r="C9" s="89">
        <v>12.57</v>
      </c>
      <c r="D9" s="93">
        <v>110</v>
      </c>
      <c r="E9" s="28" t="s">
        <v>25</v>
      </c>
      <c r="F9" s="22">
        <v>21</v>
      </c>
      <c r="G9" s="22">
        <f>F9/30*C9</f>
        <v>8.7989999999999995</v>
      </c>
      <c r="H9" s="91">
        <f t="shared" ref="H9" si="1">1.063*1.044*1.046</f>
        <v>1.1608215120000001</v>
      </c>
      <c r="I9" s="91">
        <f>SUM(G9:G10)*H9</f>
        <v>146.29464374495186</v>
      </c>
      <c r="J9" s="91">
        <f>SUM(G9:G10)*H9*1.18</f>
        <v>172.62767961904319</v>
      </c>
      <c r="K9" s="91">
        <f>I9*1.044</f>
        <v>152.73160806972973</v>
      </c>
      <c r="L9" s="91">
        <f>J9*1.044/1.18*1.2</f>
        <v>183.27792968367567</v>
      </c>
    </row>
    <row r="10" spans="1:12" ht="24" customHeight="1" x14ac:dyDescent="0.25">
      <c r="A10" s="95"/>
      <c r="B10" s="96"/>
      <c r="C10" s="97"/>
      <c r="D10" s="98"/>
      <c r="E10" s="28" t="s">
        <v>24</v>
      </c>
      <c r="F10" s="22">
        <v>9.3260000000000005</v>
      </c>
      <c r="G10" s="22">
        <f>F10*C9</f>
        <v>117.22782000000001</v>
      </c>
      <c r="H10" s="99"/>
      <c r="I10" s="92"/>
      <c r="J10" s="92"/>
      <c r="K10" s="92"/>
      <c r="L10" s="92"/>
    </row>
    <row r="11" spans="1:12" ht="15.75" x14ac:dyDescent="0.25">
      <c r="A11" s="23"/>
      <c r="B11" s="23"/>
      <c r="C11" s="23"/>
      <c r="D11" s="23"/>
      <c r="E11" s="23"/>
      <c r="F11" s="23"/>
      <c r="G11" s="23"/>
      <c r="H11" s="24" t="s">
        <v>8</v>
      </c>
      <c r="I11" s="25">
        <f>I7+I9</f>
        <v>195.14944222758868</v>
      </c>
      <c r="J11" s="25">
        <f t="shared" ref="J11:L11" si="2">J7+J9</f>
        <v>230.27634182855462</v>
      </c>
      <c r="K11" s="25">
        <f t="shared" si="2"/>
        <v>203.73601768560258</v>
      </c>
      <c r="L11" s="25">
        <f t="shared" si="2"/>
        <v>244.48322122272305</v>
      </c>
    </row>
    <row r="12" spans="1:12" ht="36.75" hidden="1" customHeight="1" x14ac:dyDescent="0.25">
      <c r="A12" s="19" t="s">
        <v>28</v>
      </c>
      <c r="B12" s="19"/>
      <c r="C12" s="19"/>
      <c r="D12" s="19"/>
      <c r="E12" s="19"/>
      <c r="F12" s="19"/>
      <c r="G12" s="19"/>
      <c r="H12" s="19"/>
      <c r="I12" s="19"/>
      <c r="J12" s="19" t="s">
        <v>29</v>
      </c>
      <c r="K12" s="19"/>
    </row>
    <row r="14" spans="1:12" x14ac:dyDescent="0.25">
      <c r="J14" s="26"/>
      <c r="L14" s="26"/>
    </row>
    <row r="15" spans="1:12" x14ac:dyDescent="0.25">
      <c r="K15" s="26"/>
    </row>
  </sheetData>
  <mergeCells count="22">
    <mergeCell ref="I9:I10"/>
    <mergeCell ref="J9:J10"/>
    <mergeCell ref="K9:K10"/>
    <mergeCell ref="L9:L10"/>
    <mergeCell ref="A9:A10"/>
    <mergeCell ref="B9:B10"/>
    <mergeCell ref="C9:C10"/>
    <mergeCell ref="D9:D10"/>
    <mergeCell ref="H9:H10"/>
    <mergeCell ref="A1:L1"/>
    <mergeCell ref="A2:L2"/>
    <mergeCell ref="E3:I3"/>
    <mergeCell ref="A5:L5"/>
    <mergeCell ref="A7:A8"/>
    <mergeCell ref="B7:B8"/>
    <mergeCell ref="C7:C8"/>
    <mergeCell ref="L7:L8"/>
    <mergeCell ref="D7:D8"/>
    <mergeCell ref="H7:H8"/>
    <mergeCell ref="I7:I8"/>
    <mergeCell ref="J7:J8"/>
    <mergeCell ref="K7:K8"/>
  </mergeCells>
  <pageMargins left="0.31496062992125984" right="0.31496062992125984" top="0.35433070866141736" bottom="0.35433070866141736" header="0" footer="0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>
      <selection activeCell="F35" sqref="F35"/>
    </sheetView>
  </sheetViews>
  <sheetFormatPr defaultRowHeight="15" x14ac:dyDescent="0.25"/>
  <cols>
    <col min="3" max="3" width="30" customWidth="1"/>
    <col min="4" max="4" width="10.42578125" customWidth="1"/>
    <col min="5" max="5" width="11.28515625" customWidth="1"/>
    <col min="6" max="6" width="13.28515625" customWidth="1"/>
    <col min="7" max="7" width="27.42578125" customWidth="1"/>
    <col min="8" max="8" width="19.5703125" customWidth="1"/>
    <col min="9" max="9" width="22.5703125" customWidth="1"/>
    <col min="10" max="10" width="14.85546875" customWidth="1"/>
  </cols>
  <sheetData>
    <row r="1" spans="1:11" x14ac:dyDescent="0.25">
      <c r="A1" s="5"/>
      <c r="B1" s="100" t="s">
        <v>13</v>
      </c>
      <c r="C1" s="100"/>
      <c r="D1" s="100"/>
      <c r="E1" s="100"/>
      <c r="F1" s="100"/>
      <c r="G1" s="100"/>
      <c r="H1" s="100"/>
      <c r="I1" s="100"/>
      <c r="J1" s="100"/>
      <c r="K1" s="8"/>
    </row>
    <row r="2" spans="1:11" x14ac:dyDescent="0.25">
      <c r="A2" s="5"/>
      <c r="B2" s="101"/>
      <c r="C2" s="101"/>
      <c r="D2" s="101"/>
      <c r="E2" s="101"/>
      <c r="F2" s="101"/>
      <c r="G2" s="101"/>
      <c r="H2" s="101"/>
      <c r="I2" s="101"/>
      <c r="J2" s="101"/>
      <c r="K2" s="9"/>
    </row>
    <row r="3" spans="1:11" ht="15.75" thickBot="1" x14ac:dyDescent="0.3">
      <c r="A3" s="5"/>
      <c r="B3" s="7" t="s">
        <v>0</v>
      </c>
      <c r="C3" s="7" t="s">
        <v>1</v>
      </c>
      <c r="D3" s="7" t="s">
        <v>7</v>
      </c>
      <c r="E3" s="7" t="s">
        <v>2</v>
      </c>
      <c r="F3" s="7" t="s">
        <v>9</v>
      </c>
      <c r="G3" s="7" t="s">
        <v>3</v>
      </c>
      <c r="H3" s="7" t="s">
        <v>4</v>
      </c>
      <c r="I3" s="7" t="s">
        <v>5</v>
      </c>
      <c r="J3" s="7" t="s">
        <v>6</v>
      </c>
      <c r="K3" s="5"/>
    </row>
    <row r="4" spans="1:11" ht="15.75" thickBot="1" x14ac:dyDescent="0.3">
      <c r="A4" s="5"/>
      <c r="B4" s="10">
        <v>1</v>
      </c>
      <c r="C4" s="2"/>
      <c r="D4" s="1"/>
      <c r="E4" s="2"/>
      <c r="F4" s="1"/>
      <c r="G4" s="11">
        <f>D4*F4</f>
        <v>0</v>
      </c>
      <c r="H4" s="2">
        <v>1.0756756756756756</v>
      </c>
      <c r="I4" s="11">
        <f>G4*H4</f>
        <v>0</v>
      </c>
      <c r="J4" s="11">
        <f>I4*1.18</f>
        <v>0</v>
      </c>
      <c r="K4" s="5"/>
    </row>
    <row r="5" spans="1:11" ht="15.75" thickBot="1" x14ac:dyDescent="0.3">
      <c r="A5" s="5"/>
      <c r="B5" s="10">
        <f>B4+1</f>
        <v>2</v>
      </c>
      <c r="C5" s="2"/>
      <c r="D5" s="1"/>
      <c r="E5" s="2"/>
      <c r="F5" s="1"/>
      <c r="G5" s="11">
        <f t="shared" ref="G5:G11" si="0">D5*F5</f>
        <v>0</v>
      </c>
      <c r="H5" s="2">
        <v>1.0756756756756756</v>
      </c>
      <c r="I5" s="11">
        <f t="shared" ref="I5:I11" si="1">G5*H5</f>
        <v>0</v>
      </c>
      <c r="J5" s="11">
        <f t="shared" ref="J5:J11" si="2">I5*1.18</f>
        <v>0</v>
      </c>
      <c r="K5" s="5"/>
    </row>
    <row r="6" spans="1:11" ht="15.75" thickBot="1" x14ac:dyDescent="0.3">
      <c r="A6" s="5"/>
      <c r="B6" s="10">
        <f t="shared" ref="B6:B11" si="3">B5+1</f>
        <v>3</v>
      </c>
      <c r="C6" s="2"/>
      <c r="D6" s="1"/>
      <c r="E6" s="2"/>
      <c r="F6" s="1"/>
      <c r="G6" s="11">
        <f t="shared" si="0"/>
        <v>0</v>
      </c>
      <c r="H6" s="2">
        <v>1.0756756756756756</v>
      </c>
      <c r="I6" s="11">
        <f t="shared" si="1"/>
        <v>0</v>
      </c>
      <c r="J6" s="11">
        <f t="shared" si="2"/>
        <v>0</v>
      </c>
      <c r="K6" s="5"/>
    </row>
    <row r="7" spans="1:11" ht="15.75" thickBot="1" x14ac:dyDescent="0.3">
      <c r="A7" s="5"/>
      <c r="B7" s="10">
        <f t="shared" si="3"/>
        <v>4</v>
      </c>
      <c r="C7" s="2"/>
      <c r="D7" s="1"/>
      <c r="E7" s="2"/>
      <c r="F7" s="1"/>
      <c r="G7" s="11">
        <f t="shared" si="0"/>
        <v>0</v>
      </c>
      <c r="H7" s="2">
        <v>1.0756756756756756</v>
      </c>
      <c r="I7" s="11">
        <f t="shared" si="1"/>
        <v>0</v>
      </c>
      <c r="J7" s="11">
        <f t="shared" si="2"/>
        <v>0</v>
      </c>
      <c r="K7" s="5"/>
    </row>
    <row r="8" spans="1:11" ht="15.75" thickBot="1" x14ac:dyDescent="0.3">
      <c r="A8" s="5"/>
      <c r="B8" s="10">
        <f t="shared" si="3"/>
        <v>5</v>
      </c>
      <c r="C8" s="2"/>
      <c r="D8" s="1"/>
      <c r="E8" s="2"/>
      <c r="F8" s="1"/>
      <c r="G8" s="11">
        <f t="shared" si="0"/>
        <v>0</v>
      </c>
      <c r="H8" s="2">
        <v>1.0756756756756756</v>
      </c>
      <c r="I8" s="11">
        <f t="shared" si="1"/>
        <v>0</v>
      </c>
      <c r="J8" s="11">
        <f t="shared" si="2"/>
        <v>0</v>
      </c>
      <c r="K8" s="5"/>
    </row>
    <row r="9" spans="1:11" ht="15.75" thickBot="1" x14ac:dyDescent="0.3">
      <c r="A9" s="5"/>
      <c r="B9" s="10">
        <f t="shared" si="3"/>
        <v>6</v>
      </c>
      <c r="C9" s="2"/>
      <c r="D9" s="1"/>
      <c r="E9" s="2"/>
      <c r="F9" s="1"/>
      <c r="G9" s="11">
        <f t="shared" si="0"/>
        <v>0</v>
      </c>
      <c r="H9" s="2">
        <v>1.0756756756756756</v>
      </c>
      <c r="I9" s="11">
        <f t="shared" si="1"/>
        <v>0</v>
      </c>
      <c r="J9" s="11">
        <f t="shared" si="2"/>
        <v>0</v>
      </c>
      <c r="K9" s="5"/>
    </row>
    <row r="10" spans="1:11" ht="15.75" thickBot="1" x14ac:dyDescent="0.3">
      <c r="A10" s="5"/>
      <c r="B10" s="10">
        <f t="shared" si="3"/>
        <v>7</v>
      </c>
      <c r="C10" s="2"/>
      <c r="D10" s="1"/>
      <c r="E10" s="2"/>
      <c r="F10" s="1"/>
      <c r="G10" s="11">
        <f t="shared" si="0"/>
        <v>0</v>
      </c>
      <c r="H10" s="2">
        <v>1.0756756756756756</v>
      </c>
      <c r="I10" s="11">
        <f t="shared" si="1"/>
        <v>0</v>
      </c>
      <c r="J10" s="11">
        <f t="shared" si="2"/>
        <v>0</v>
      </c>
      <c r="K10" s="5"/>
    </row>
    <row r="11" spans="1:11" ht="15.75" thickBot="1" x14ac:dyDescent="0.3">
      <c r="A11" s="5"/>
      <c r="B11" s="10">
        <f t="shared" si="3"/>
        <v>8</v>
      </c>
      <c r="C11" s="2"/>
      <c r="D11" s="1"/>
      <c r="E11" s="2"/>
      <c r="F11" s="1"/>
      <c r="G11" s="11">
        <f t="shared" si="0"/>
        <v>0</v>
      </c>
      <c r="H11" s="2">
        <v>1.0756756756756756</v>
      </c>
      <c r="I11" s="11">
        <f t="shared" si="1"/>
        <v>0</v>
      </c>
      <c r="J11" s="11">
        <f t="shared" si="2"/>
        <v>0</v>
      </c>
      <c r="K11" s="5"/>
    </row>
    <row r="12" spans="1:11" ht="16.5" thickBot="1" x14ac:dyDescent="0.3">
      <c r="A12" s="5"/>
      <c r="B12" s="102"/>
      <c r="C12" s="102"/>
      <c r="D12" s="102"/>
      <c r="E12" s="102"/>
      <c r="F12" s="102"/>
      <c r="G12" s="102"/>
      <c r="H12" s="102"/>
      <c r="I12" s="6" t="s">
        <v>8</v>
      </c>
      <c r="J12" s="12">
        <f>J4+J5+J6+J7+J8+J9+J10+J11</f>
        <v>0</v>
      </c>
      <c r="K12" s="7" t="s">
        <v>10</v>
      </c>
    </row>
    <row r="13" spans="1:1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5" spans="1:11" x14ac:dyDescent="0.25">
      <c r="A15" s="14"/>
      <c r="B15" s="4" t="s">
        <v>11</v>
      </c>
    </row>
    <row r="17" spans="1:2" x14ac:dyDescent="0.25">
      <c r="A17" s="13"/>
      <c r="B17" s="3" t="s">
        <v>12</v>
      </c>
    </row>
  </sheetData>
  <mergeCells count="3">
    <mergeCell ref="B1:J1"/>
    <mergeCell ref="B2:J2"/>
    <mergeCell ref="B12:H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S163"/>
  <sheetViews>
    <sheetView tabSelected="1" view="pageBreakPreview" zoomScale="60" zoomScaleNormal="100" workbookViewId="0">
      <pane xSplit="3" ySplit="8" topLeftCell="K155" activePane="bottomRight" state="frozen"/>
      <selection pane="topRight" activeCell="D1" sqref="D1"/>
      <selection pane="bottomLeft" activeCell="A9" sqref="A9"/>
      <selection pane="bottomRight" activeCell="P155" sqref="P155:P157"/>
    </sheetView>
  </sheetViews>
  <sheetFormatPr defaultRowHeight="18.75" x14ac:dyDescent="0.3"/>
  <cols>
    <col min="1" max="1" width="7" style="31" customWidth="1"/>
    <col min="2" max="2" width="34" style="45" customWidth="1"/>
    <col min="3" max="3" width="14" style="31" customWidth="1"/>
    <col min="4" max="4" width="11.42578125" style="31" customWidth="1"/>
    <col min="5" max="5" width="13" style="31" customWidth="1"/>
    <col min="6" max="6" width="11.7109375" style="31" customWidth="1"/>
    <col min="7" max="7" width="27.42578125" style="31" customWidth="1"/>
    <col min="8" max="8" width="14.5703125" style="31" customWidth="1"/>
    <col min="9" max="9" width="13.7109375" style="31" customWidth="1"/>
    <col min="10" max="10" width="11.5703125" style="31" customWidth="1"/>
    <col min="11" max="11" width="10.85546875" style="31" customWidth="1"/>
    <col min="12" max="12" width="13.5703125" style="31" customWidth="1"/>
    <col min="13" max="13" width="28.140625" style="31" customWidth="1"/>
    <col min="14" max="14" width="12.5703125" style="31" customWidth="1"/>
    <col min="15" max="15" width="19.7109375" style="31" customWidth="1"/>
    <col min="16" max="16" width="28.7109375" style="31" customWidth="1"/>
    <col min="17" max="17" width="21.5703125" style="31" customWidth="1"/>
    <col min="18" max="21" width="6.85546875" style="31" customWidth="1"/>
    <col min="22" max="22" width="8" style="31" customWidth="1"/>
    <col min="23" max="23" width="12.85546875" style="48" customWidth="1"/>
    <col min="24" max="24" width="14.42578125" style="48" bestFit="1" customWidth="1"/>
    <col min="25" max="25" width="13.140625" style="48" customWidth="1"/>
    <col min="26" max="29" width="14.140625" style="48" customWidth="1"/>
    <col min="30" max="30" width="19.42578125" style="31" customWidth="1"/>
    <col min="31" max="31" width="21.28515625" style="31" customWidth="1"/>
    <col min="32" max="32" width="17.28515625" style="31" customWidth="1"/>
    <col min="33" max="33" width="9.42578125" style="31" customWidth="1"/>
    <col min="34" max="37" width="6.85546875" style="31" customWidth="1"/>
    <col min="38" max="38" width="8" style="31" customWidth="1"/>
    <col min="39" max="39" width="15" style="48" customWidth="1"/>
    <col min="40" max="43" width="14.140625" style="48" customWidth="1"/>
    <col min="44" max="44" width="9.140625" style="31" customWidth="1"/>
    <col min="45" max="45" width="16.140625" style="34" customWidth="1"/>
    <col min="46" max="46" width="16" style="31" customWidth="1"/>
    <col min="47" max="16384" width="9.140625" style="31"/>
  </cols>
  <sheetData>
    <row r="1" spans="1:45" s="34" customFormat="1" ht="66.75" customHeight="1" x14ac:dyDescent="0.3">
      <c r="A1" s="120" t="s">
        <v>237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</row>
    <row r="2" spans="1:45" s="34" customFormat="1" ht="18.75" customHeight="1" x14ac:dyDescent="0.3">
      <c r="A2" s="120" t="s">
        <v>236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</row>
    <row r="3" spans="1:45" s="34" customFormat="1" x14ac:dyDescent="0.3">
      <c r="A3" s="120" t="s">
        <v>265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</row>
    <row r="4" spans="1:45" ht="28.5" customHeight="1" x14ac:dyDescent="0.3">
      <c r="A4" s="35"/>
      <c r="B4" s="36"/>
      <c r="C4" s="37"/>
      <c r="D4" s="37"/>
      <c r="E4" s="37"/>
      <c r="F4" s="37"/>
      <c r="G4" s="37"/>
      <c r="H4" s="37"/>
      <c r="I4" s="37"/>
      <c r="J4" s="37"/>
      <c r="K4" s="37"/>
      <c r="L4" s="38"/>
      <c r="M4" s="37"/>
      <c r="N4" s="37"/>
      <c r="O4" s="39"/>
      <c r="P4" s="39"/>
      <c r="Q4" s="39"/>
      <c r="R4" s="40"/>
      <c r="S4" s="40"/>
      <c r="T4" s="40"/>
      <c r="U4" s="41"/>
      <c r="V4" s="40"/>
      <c r="W4" s="40"/>
      <c r="X4" s="127"/>
      <c r="Y4" s="127"/>
      <c r="Z4" s="127"/>
      <c r="AA4" s="52"/>
      <c r="AB4" s="52"/>
      <c r="AC4" s="52"/>
      <c r="AD4" s="39"/>
      <c r="AE4" s="39"/>
      <c r="AF4" s="39"/>
      <c r="AG4" s="39"/>
      <c r="AH4" s="40"/>
      <c r="AI4" s="40"/>
      <c r="AJ4" s="40"/>
      <c r="AK4" s="41"/>
      <c r="AL4" s="40"/>
      <c r="AM4" s="127"/>
      <c r="AN4" s="127"/>
      <c r="AO4" s="52"/>
      <c r="AP4" s="52"/>
      <c r="AQ4" s="52"/>
    </row>
    <row r="5" spans="1:45" ht="31.5" customHeight="1" x14ac:dyDescent="0.3">
      <c r="A5" s="128" t="s">
        <v>0</v>
      </c>
      <c r="B5" s="128" t="s">
        <v>32</v>
      </c>
      <c r="C5" s="128" t="s">
        <v>14</v>
      </c>
      <c r="D5" s="128" t="s">
        <v>2</v>
      </c>
      <c r="E5" s="128" t="s">
        <v>49</v>
      </c>
      <c r="F5" s="128" t="s">
        <v>48</v>
      </c>
      <c r="G5" s="128" t="s">
        <v>47</v>
      </c>
      <c r="H5" s="128" t="s">
        <v>50</v>
      </c>
      <c r="I5" s="128" t="s">
        <v>51</v>
      </c>
      <c r="J5" s="145" t="s">
        <v>34</v>
      </c>
      <c r="K5" s="145"/>
      <c r="L5" s="128" t="s">
        <v>57</v>
      </c>
      <c r="M5" s="109" t="s">
        <v>93</v>
      </c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 t="s">
        <v>266</v>
      </c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</row>
    <row r="6" spans="1:45" ht="135" customHeight="1" x14ac:dyDescent="0.3">
      <c r="A6" s="139"/>
      <c r="B6" s="139"/>
      <c r="C6" s="139"/>
      <c r="D6" s="139"/>
      <c r="E6" s="139"/>
      <c r="F6" s="139"/>
      <c r="G6" s="139"/>
      <c r="H6" s="139"/>
      <c r="I6" s="139"/>
      <c r="J6" s="145"/>
      <c r="K6" s="145"/>
      <c r="L6" s="139"/>
      <c r="M6" s="128" t="s">
        <v>53</v>
      </c>
      <c r="N6" s="128" t="s">
        <v>52</v>
      </c>
      <c r="O6" s="128" t="s">
        <v>54</v>
      </c>
      <c r="P6" s="128" t="s">
        <v>16</v>
      </c>
      <c r="Q6" s="130" t="s">
        <v>55</v>
      </c>
      <c r="R6" s="140"/>
      <c r="S6" s="140"/>
      <c r="T6" s="140"/>
      <c r="U6" s="140"/>
      <c r="V6" s="141"/>
      <c r="W6" s="146" t="s">
        <v>56</v>
      </c>
      <c r="X6" s="132"/>
      <c r="Y6" s="132"/>
      <c r="Z6" s="132"/>
      <c r="AA6" s="132"/>
      <c r="AB6" s="132"/>
      <c r="AC6" s="133"/>
      <c r="AD6" s="128" t="s">
        <v>54</v>
      </c>
      <c r="AE6" s="128" t="s">
        <v>16</v>
      </c>
      <c r="AF6" s="130" t="s">
        <v>55</v>
      </c>
      <c r="AG6" s="121" t="s">
        <v>267</v>
      </c>
      <c r="AH6" s="122"/>
      <c r="AI6" s="122"/>
      <c r="AJ6" s="122"/>
      <c r="AK6" s="122"/>
      <c r="AL6" s="123"/>
      <c r="AM6" s="132"/>
      <c r="AN6" s="132"/>
      <c r="AO6" s="132"/>
      <c r="AP6" s="132"/>
      <c r="AQ6" s="133"/>
      <c r="AR6" s="42"/>
    </row>
    <row r="7" spans="1:45" ht="24" customHeight="1" x14ac:dyDescent="0.3">
      <c r="A7" s="129"/>
      <c r="B7" s="129"/>
      <c r="C7" s="129"/>
      <c r="D7" s="129"/>
      <c r="E7" s="129"/>
      <c r="F7" s="129"/>
      <c r="G7" s="129"/>
      <c r="H7" s="129"/>
      <c r="I7" s="129"/>
      <c r="J7" s="33" t="s">
        <v>58</v>
      </c>
      <c r="K7" s="55" t="s">
        <v>59</v>
      </c>
      <c r="L7" s="129"/>
      <c r="M7" s="129"/>
      <c r="N7" s="129"/>
      <c r="O7" s="129"/>
      <c r="P7" s="129"/>
      <c r="Q7" s="131"/>
      <c r="R7" s="29">
        <v>2025</v>
      </c>
      <c r="S7" s="29">
        <v>2026</v>
      </c>
      <c r="T7" s="29">
        <v>2027</v>
      </c>
      <c r="U7" s="29">
        <v>2028</v>
      </c>
      <c r="V7" s="29">
        <v>2029</v>
      </c>
      <c r="W7" s="30">
        <v>2023</v>
      </c>
      <c r="X7" s="30">
        <v>2024</v>
      </c>
      <c r="Y7" s="30">
        <v>2025</v>
      </c>
      <c r="Z7" s="30">
        <v>2026</v>
      </c>
      <c r="AA7" s="30">
        <v>2027</v>
      </c>
      <c r="AB7" s="30">
        <v>2028</v>
      </c>
      <c r="AC7" s="30">
        <v>2029</v>
      </c>
      <c r="AD7" s="129"/>
      <c r="AE7" s="129"/>
      <c r="AF7" s="131"/>
      <c r="AG7" s="29">
        <v>2024</v>
      </c>
      <c r="AH7" s="29">
        <v>2025</v>
      </c>
      <c r="AI7" s="29">
        <v>2026</v>
      </c>
      <c r="AJ7" s="29">
        <v>2027</v>
      </c>
      <c r="AK7" s="29">
        <v>2028</v>
      </c>
      <c r="AL7" s="29">
        <v>2029</v>
      </c>
      <c r="AM7" s="30">
        <v>2025</v>
      </c>
      <c r="AN7" s="30">
        <v>2026</v>
      </c>
      <c r="AO7" s="30">
        <v>2027</v>
      </c>
      <c r="AP7" s="30">
        <v>2028</v>
      </c>
      <c r="AQ7" s="30">
        <v>2029</v>
      </c>
    </row>
    <row r="8" spans="1:45" s="45" customFormat="1" ht="24" customHeight="1" x14ac:dyDescent="0.25">
      <c r="A8" s="32">
        <v>1</v>
      </c>
      <c r="B8" s="32">
        <v>2</v>
      </c>
      <c r="C8" s="32">
        <v>3</v>
      </c>
      <c r="D8" s="32">
        <v>4</v>
      </c>
      <c r="E8" s="43">
        <v>5</v>
      </c>
      <c r="F8" s="32">
        <f>E8+1</f>
        <v>6</v>
      </c>
      <c r="G8" s="32">
        <f t="shared" ref="G8:AC8" si="0">F8+1</f>
        <v>7</v>
      </c>
      <c r="H8" s="32">
        <f t="shared" si="0"/>
        <v>8</v>
      </c>
      <c r="I8" s="32">
        <f t="shared" si="0"/>
        <v>9</v>
      </c>
      <c r="J8" s="32">
        <f t="shared" si="0"/>
        <v>10</v>
      </c>
      <c r="K8" s="32">
        <f t="shared" si="0"/>
        <v>11</v>
      </c>
      <c r="L8" s="32">
        <f t="shared" si="0"/>
        <v>12</v>
      </c>
      <c r="M8" s="32">
        <f t="shared" si="0"/>
        <v>13</v>
      </c>
      <c r="N8" s="32">
        <f t="shared" si="0"/>
        <v>14</v>
      </c>
      <c r="O8" s="32">
        <f t="shared" si="0"/>
        <v>15</v>
      </c>
      <c r="P8" s="32">
        <f t="shared" si="0"/>
        <v>16</v>
      </c>
      <c r="Q8" s="32">
        <f t="shared" si="0"/>
        <v>17</v>
      </c>
      <c r="R8" s="32">
        <v>20</v>
      </c>
      <c r="S8" s="32">
        <v>21</v>
      </c>
      <c r="T8" s="32">
        <v>22</v>
      </c>
      <c r="U8" s="32">
        <v>23</v>
      </c>
      <c r="V8" s="32">
        <v>24</v>
      </c>
      <c r="W8" s="44">
        <v>25</v>
      </c>
      <c r="X8" s="44">
        <v>26</v>
      </c>
      <c r="Y8" s="44">
        <v>27</v>
      </c>
      <c r="Z8" s="44">
        <v>28</v>
      </c>
      <c r="AA8" s="44">
        <v>29</v>
      </c>
      <c r="AB8" s="44">
        <v>30</v>
      </c>
      <c r="AC8" s="44">
        <f t="shared" si="0"/>
        <v>31</v>
      </c>
      <c r="AD8" s="44">
        <f t="shared" ref="AD8" si="1">AC8+1</f>
        <v>32</v>
      </c>
      <c r="AE8" s="44">
        <f t="shared" ref="AE8" si="2">AD8+1</f>
        <v>33</v>
      </c>
      <c r="AF8" s="44">
        <f t="shared" ref="AF8" si="3">AE8+1</f>
        <v>34</v>
      </c>
      <c r="AG8" s="44">
        <f t="shared" ref="AG8" si="4">AF8+1</f>
        <v>35</v>
      </c>
      <c r="AH8" s="44">
        <f t="shared" ref="AH8" si="5">AG8+1</f>
        <v>36</v>
      </c>
      <c r="AI8" s="44">
        <f t="shared" ref="AI8" si="6">AH8+1</f>
        <v>37</v>
      </c>
      <c r="AJ8" s="44">
        <f t="shared" ref="AJ8" si="7">AI8+1</f>
        <v>38</v>
      </c>
      <c r="AK8" s="44">
        <f t="shared" ref="AK8" si="8">AJ8+1</f>
        <v>39</v>
      </c>
      <c r="AL8" s="44">
        <f t="shared" ref="AL8" si="9">AK8+1</f>
        <v>40</v>
      </c>
      <c r="AM8" s="44">
        <f t="shared" ref="AM8" si="10">AL8+1</f>
        <v>41</v>
      </c>
      <c r="AN8" s="44">
        <f t="shared" ref="AN8" si="11">AM8+1</f>
        <v>42</v>
      </c>
      <c r="AO8" s="44">
        <f t="shared" ref="AO8" si="12">AN8+1</f>
        <v>43</v>
      </c>
      <c r="AP8" s="44">
        <f t="shared" ref="AP8" si="13">AO8+1</f>
        <v>44</v>
      </c>
      <c r="AQ8" s="44">
        <f t="shared" ref="AQ8" si="14">AP8+1</f>
        <v>45</v>
      </c>
      <c r="AS8" s="51"/>
    </row>
    <row r="9" spans="1:45" s="62" customFormat="1" ht="63.75" customHeight="1" x14ac:dyDescent="0.25">
      <c r="A9" s="142">
        <v>1</v>
      </c>
      <c r="B9" s="110" t="s">
        <v>208</v>
      </c>
      <c r="C9" s="113">
        <v>35</v>
      </c>
      <c r="D9" s="54" t="s">
        <v>209</v>
      </c>
      <c r="E9" s="54" t="s">
        <v>82</v>
      </c>
      <c r="F9" s="54">
        <v>6</v>
      </c>
      <c r="G9" s="32" t="s">
        <v>210</v>
      </c>
      <c r="H9" s="59">
        <v>17875.25</v>
      </c>
      <c r="I9" s="59">
        <f t="shared" ref="I9:I14" si="15">F9*H9</f>
        <v>107251.5</v>
      </c>
      <c r="J9" s="59" t="s">
        <v>165</v>
      </c>
      <c r="K9" s="60">
        <v>1.44</v>
      </c>
      <c r="L9" s="59">
        <f>I9*K9</f>
        <v>154442.16</v>
      </c>
      <c r="M9" s="103">
        <f>SUM(L9)</f>
        <v>154442.16</v>
      </c>
      <c r="N9" s="103">
        <f>M9*0.2</f>
        <v>30888.432000000001</v>
      </c>
      <c r="O9" s="103">
        <f>(M9+N9)</f>
        <v>185330.592</v>
      </c>
      <c r="P9" s="103">
        <f>O9</f>
        <v>185330.592</v>
      </c>
      <c r="Q9" s="103">
        <f>SUM(W9:AC10)</f>
        <v>185330.592</v>
      </c>
      <c r="R9" s="106">
        <v>1.048</v>
      </c>
      <c r="S9" s="106">
        <v>1.046</v>
      </c>
      <c r="T9" s="106">
        <v>1.046</v>
      </c>
      <c r="U9" s="106">
        <v>1.046</v>
      </c>
      <c r="V9" s="106">
        <v>1.046</v>
      </c>
      <c r="W9" s="103">
        <v>0</v>
      </c>
      <c r="X9" s="103">
        <f>P9</f>
        <v>185330.592</v>
      </c>
      <c r="Y9" s="103">
        <v>0</v>
      </c>
      <c r="Z9" s="103">
        <v>0</v>
      </c>
      <c r="AA9" s="103">
        <v>0</v>
      </c>
      <c r="AB9" s="103">
        <v>0</v>
      </c>
      <c r="AC9" s="103">
        <v>0</v>
      </c>
      <c r="AD9" s="103">
        <f>O9</f>
        <v>185330.592</v>
      </c>
      <c r="AE9" s="103">
        <f>AD9</f>
        <v>185330.592</v>
      </c>
      <c r="AF9" s="124">
        <f>AE9</f>
        <v>185330.592</v>
      </c>
      <c r="AG9" s="106">
        <v>1.091</v>
      </c>
      <c r="AH9" s="106">
        <v>1.0780000000000001</v>
      </c>
      <c r="AI9" s="106">
        <v>1.0529999999999999</v>
      </c>
      <c r="AJ9" s="106">
        <v>1.044</v>
      </c>
      <c r="AK9" s="106">
        <v>1.044</v>
      </c>
      <c r="AL9" s="106">
        <v>1.044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S9" s="31"/>
    </row>
    <row r="10" spans="1:45" s="42" customFormat="1" ht="46.5" customHeight="1" x14ac:dyDescent="0.25">
      <c r="A10" s="144"/>
      <c r="B10" s="112"/>
      <c r="C10" s="115"/>
      <c r="D10" s="63" t="s">
        <v>212</v>
      </c>
      <c r="E10" s="63" t="s">
        <v>38</v>
      </c>
      <c r="F10" s="63">
        <v>1</v>
      </c>
      <c r="G10" s="64" t="s">
        <v>238</v>
      </c>
      <c r="H10" s="56">
        <v>21275.06</v>
      </c>
      <c r="I10" s="56">
        <f>H10*F10</f>
        <v>21275.06</v>
      </c>
      <c r="J10" s="56" t="s">
        <v>35</v>
      </c>
      <c r="K10" s="65" t="s">
        <v>35</v>
      </c>
      <c r="L10" s="56">
        <f>I10</f>
        <v>21275.06</v>
      </c>
      <c r="M10" s="105"/>
      <c r="N10" s="105"/>
      <c r="O10" s="105"/>
      <c r="P10" s="105"/>
      <c r="Q10" s="105"/>
      <c r="R10" s="108"/>
      <c r="S10" s="108"/>
      <c r="T10" s="108"/>
      <c r="U10" s="108"/>
      <c r="V10" s="108"/>
      <c r="W10" s="105"/>
      <c r="X10" s="105"/>
      <c r="Y10" s="105"/>
      <c r="Z10" s="105"/>
      <c r="AA10" s="105"/>
      <c r="AB10" s="105"/>
      <c r="AC10" s="105"/>
      <c r="AD10" s="105"/>
      <c r="AE10" s="105"/>
      <c r="AF10" s="126"/>
      <c r="AG10" s="108"/>
      <c r="AH10" s="108"/>
      <c r="AI10" s="108"/>
      <c r="AJ10" s="108"/>
      <c r="AK10" s="108"/>
      <c r="AL10" s="108"/>
      <c r="AM10" s="105"/>
      <c r="AN10" s="105"/>
      <c r="AO10" s="105"/>
      <c r="AP10" s="105"/>
      <c r="AQ10" s="105"/>
      <c r="AS10" s="31"/>
    </row>
    <row r="11" spans="1:45" ht="63" customHeight="1" x14ac:dyDescent="0.25">
      <c r="A11" s="142">
        <v>2</v>
      </c>
      <c r="B11" s="116" t="s">
        <v>213</v>
      </c>
      <c r="C11" s="137">
        <v>35</v>
      </c>
      <c r="D11" s="54" t="s">
        <v>78</v>
      </c>
      <c r="E11" s="54" t="s">
        <v>82</v>
      </c>
      <c r="F11" s="54">
        <v>8</v>
      </c>
      <c r="G11" s="32" t="s">
        <v>214</v>
      </c>
      <c r="H11" s="59">
        <v>27469.919999999998</v>
      </c>
      <c r="I11" s="59">
        <f>F11*H11</f>
        <v>219759.35999999999</v>
      </c>
      <c r="J11" s="59" t="s">
        <v>165</v>
      </c>
      <c r="K11" s="60">
        <v>1.44</v>
      </c>
      <c r="L11" s="59">
        <f>I11*K11</f>
        <v>316453.47839999996</v>
      </c>
      <c r="M11" s="103">
        <f>SUM(L11:L12)</f>
        <v>332248.11839999998</v>
      </c>
      <c r="N11" s="103">
        <f>M11*0.2</f>
        <v>66449.623680000004</v>
      </c>
      <c r="O11" s="103">
        <f>(M11+N11)</f>
        <v>398697.74208</v>
      </c>
      <c r="P11" s="103">
        <f>O11</f>
        <v>398697.74208</v>
      </c>
      <c r="Q11" s="103">
        <f>SUM(W11:AC12)</f>
        <v>398697.74208</v>
      </c>
      <c r="R11" s="106">
        <v>1.048</v>
      </c>
      <c r="S11" s="106">
        <v>1.046</v>
      </c>
      <c r="T11" s="106">
        <v>1.046</v>
      </c>
      <c r="U11" s="106">
        <v>1.046</v>
      </c>
      <c r="V11" s="106">
        <v>1.046</v>
      </c>
      <c r="W11" s="103">
        <v>0</v>
      </c>
      <c r="X11" s="103">
        <f>O11</f>
        <v>398697.74208</v>
      </c>
      <c r="Y11" s="103">
        <v>0</v>
      </c>
      <c r="Z11" s="103">
        <v>0</v>
      </c>
      <c r="AA11" s="103">
        <v>0</v>
      </c>
      <c r="AB11" s="103">
        <v>0</v>
      </c>
      <c r="AC11" s="103">
        <v>0</v>
      </c>
      <c r="AD11" s="103">
        <f>O11</f>
        <v>398697.74208</v>
      </c>
      <c r="AE11" s="103">
        <f>AD11</f>
        <v>398697.74208</v>
      </c>
      <c r="AF11" s="124">
        <f>AE11</f>
        <v>398697.74208</v>
      </c>
      <c r="AG11" s="106">
        <v>1.091</v>
      </c>
      <c r="AH11" s="106">
        <v>1.0780000000000001</v>
      </c>
      <c r="AI11" s="106">
        <v>1.0529999999999999</v>
      </c>
      <c r="AJ11" s="106">
        <v>1.044</v>
      </c>
      <c r="AK11" s="106">
        <v>1.044</v>
      </c>
      <c r="AL11" s="106">
        <v>1.044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S11" s="31"/>
    </row>
    <row r="12" spans="1:45" ht="34.5" customHeight="1" x14ac:dyDescent="0.25">
      <c r="A12" s="144"/>
      <c r="B12" s="116"/>
      <c r="C12" s="137"/>
      <c r="D12" s="54" t="s">
        <v>215</v>
      </c>
      <c r="E12" s="54" t="s">
        <v>82</v>
      </c>
      <c r="F12" s="54">
        <v>8</v>
      </c>
      <c r="G12" s="32" t="s">
        <v>216</v>
      </c>
      <c r="H12" s="59">
        <v>1974.33</v>
      </c>
      <c r="I12" s="59">
        <f t="shared" si="15"/>
        <v>15794.64</v>
      </c>
      <c r="J12" s="59" t="s">
        <v>35</v>
      </c>
      <c r="K12" s="60" t="s">
        <v>35</v>
      </c>
      <c r="L12" s="59">
        <f>I12</f>
        <v>15794.64</v>
      </c>
      <c r="M12" s="105"/>
      <c r="N12" s="105"/>
      <c r="O12" s="105"/>
      <c r="P12" s="105"/>
      <c r="Q12" s="105"/>
      <c r="R12" s="108"/>
      <c r="S12" s="108"/>
      <c r="T12" s="108"/>
      <c r="U12" s="108"/>
      <c r="V12" s="108"/>
      <c r="W12" s="105"/>
      <c r="X12" s="105"/>
      <c r="Y12" s="105"/>
      <c r="Z12" s="105"/>
      <c r="AA12" s="105"/>
      <c r="AB12" s="105"/>
      <c r="AC12" s="105"/>
      <c r="AD12" s="105"/>
      <c r="AE12" s="105"/>
      <c r="AF12" s="126"/>
      <c r="AG12" s="108"/>
      <c r="AH12" s="108"/>
      <c r="AI12" s="108"/>
      <c r="AJ12" s="108"/>
      <c r="AK12" s="108"/>
      <c r="AL12" s="108"/>
      <c r="AM12" s="105"/>
      <c r="AN12" s="105"/>
      <c r="AO12" s="105"/>
      <c r="AP12" s="105"/>
      <c r="AQ12" s="105"/>
      <c r="AS12" s="31"/>
    </row>
    <row r="13" spans="1:45" ht="65.25" customHeight="1" x14ac:dyDescent="0.25">
      <c r="A13" s="142">
        <v>3</v>
      </c>
      <c r="B13" s="110" t="s">
        <v>217</v>
      </c>
      <c r="C13" s="117" t="s">
        <v>60</v>
      </c>
      <c r="D13" s="54" t="s">
        <v>118</v>
      </c>
      <c r="E13" s="54" t="s">
        <v>36</v>
      </c>
      <c r="F13" s="54">
        <v>1</v>
      </c>
      <c r="G13" s="32" t="s">
        <v>218</v>
      </c>
      <c r="H13" s="59">
        <v>40047.11</v>
      </c>
      <c r="I13" s="59">
        <f t="shared" si="15"/>
        <v>40047.11</v>
      </c>
      <c r="J13" s="59" t="s">
        <v>192</v>
      </c>
      <c r="K13" s="60">
        <v>1.44</v>
      </c>
      <c r="L13" s="59">
        <f>I13*K13</f>
        <v>57667.838400000001</v>
      </c>
      <c r="M13" s="103">
        <f>SUM(L13:L14)</f>
        <v>68305.368400000007</v>
      </c>
      <c r="N13" s="103">
        <f>M13*0.2</f>
        <v>13661.073680000001</v>
      </c>
      <c r="O13" s="103">
        <f>(M13+N13)</f>
        <v>81966.442080000008</v>
      </c>
      <c r="P13" s="103">
        <f>O13</f>
        <v>81966.442080000008</v>
      </c>
      <c r="Q13" s="103">
        <f>SUM(W13:AC14)</f>
        <v>81966.442080000008</v>
      </c>
      <c r="R13" s="106">
        <v>1.048</v>
      </c>
      <c r="S13" s="106">
        <v>1.046</v>
      </c>
      <c r="T13" s="106">
        <v>1.046</v>
      </c>
      <c r="U13" s="106">
        <v>1.046</v>
      </c>
      <c r="V13" s="106">
        <v>1.046</v>
      </c>
      <c r="W13" s="103">
        <f>L14*1.2</f>
        <v>12765.036</v>
      </c>
      <c r="X13" s="103">
        <f>L13*1.2</f>
        <v>69201.406080000001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f>O13</f>
        <v>81966.442080000008</v>
      </c>
      <c r="AE13" s="103">
        <f>AD13</f>
        <v>81966.442080000008</v>
      </c>
      <c r="AF13" s="124">
        <f>AE13</f>
        <v>81966.442080000008</v>
      </c>
      <c r="AG13" s="106">
        <v>1.091</v>
      </c>
      <c r="AH13" s="106">
        <v>1.0780000000000001</v>
      </c>
      <c r="AI13" s="106">
        <v>1.0529999999999999</v>
      </c>
      <c r="AJ13" s="106">
        <v>1.044</v>
      </c>
      <c r="AK13" s="106">
        <v>1.044</v>
      </c>
      <c r="AL13" s="106">
        <v>1.046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S13" s="31"/>
    </row>
    <row r="14" spans="1:45" ht="49.5" customHeight="1" x14ac:dyDescent="0.25">
      <c r="A14" s="144"/>
      <c r="B14" s="112"/>
      <c r="C14" s="119"/>
      <c r="D14" s="54" t="s">
        <v>99</v>
      </c>
      <c r="E14" s="54" t="s">
        <v>38</v>
      </c>
      <c r="F14" s="54">
        <v>1</v>
      </c>
      <c r="G14" s="58" t="s">
        <v>239</v>
      </c>
      <c r="H14" s="59">
        <v>10637.53</v>
      </c>
      <c r="I14" s="59">
        <f t="shared" si="15"/>
        <v>10637.53</v>
      </c>
      <c r="J14" s="59" t="s">
        <v>35</v>
      </c>
      <c r="K14" s="59" t="s">
        <v>35</v>
      </c>
      <c r="L14" s="59">
        <f>I14</f>
        <v>10637.53</v>
      </c>
      <c r="M14" s="105"/>
      <c r="N14" s="105"/>
      <c r="O14" s="105"/>
      <c r="P14" s="105"/>
      <c r="Q14" s="105"/>
      <c r="R14" s="108"/>
      <c r="S14" s="108"/>
      <c r="T14" s="108"/>
      <c r="U14" s="108"/>
      <c r="V14" s="108"/>
      <c r="W14" s="105"/>
      <c r="X14" s="105"/>
      <c r="Y14" s="105"/>
      <c r="Z14" s="105"/>
      <c r="AA14" s="105"/>
      <c r="AB14" s="105"/>
      <c r="AC14" s="105"/>
      <c r="AD14" s="105"/>
      <c r="AE14" s="105"/>
      <c r="AF14" s="126"/>
      <c r="AG14" s="108"/>
      <c r="AH14" s="108"/>
      <c r="AI14" s="108"/>
      <c r="AJ14" s="108"/>
      <c r="AK14" s="108"/>
      <c r="AL14" s="108"/>
      <c r="AM14" s="105"/>
      <c r="AN14" s="105"/>
      <c r="AO14" s="105"/>
      <c r="AP14" s="105"/>
      <c r="AQ14" s="105"/>
      <c r="AS14" s="31"/>
    </row>
    <row r="15" spans="1:45" ht="66" customHeight="1" x14ac:dyDescent="0.25">
      <c r="A15" s="54">
        <v>4</v>
      </c>
      <c r="B15" s="66" t="s">
        <v>220</v>
      </c>
      <c r="C15" s="67">
        <v>6</v>
      </c>
      <c r="D15" s="54" t="s">
        <v>221</v>
      </c>
      <c r="E15" s="54" t="s">
        <v>36</v>
      </c>
      <c r="F15" s="54">
        <v>1</v>
      </c>
      <c r="G15" s="58" t="s">
        <v>222</v>
      </c>
      <c r="H15" s="59">
        <v>4870.74</v>
      </c>
      <c r="I15" s="59">
        <f>H15*F15</f>
        <v>4870.74</v>
      </c>
      <c r="J15" s="59" t="s">
        <v>175</v>
      </c>
      <c r="K15" s="60">
        <v>1.55</v>
      </c>
      <c r="L15" s="59">
        <f t="shared" ref="L15:L18" si="16">H15*K15</f>
        <v>7549.6469999999999</v>
      </c>
      <c r="M15" s="59">
        <f t="shared" ref="M15:M20" si="17">SUM(L15)</f>
        <v>7549.6469999999999</v>
      </c>
      <c r="N15" s="59">
        <f t="shared" ref="N15:N20" si="18">M15*0.2</f>
        <v>1509.9294</v>
      </c>
      <c r="O15" s="59">
        <f t="shared" ref="O15:O20" si="19">M15+N15</f>
        <v>9059.5763999999999</v>
      </c>
      <c r="P15" s="59">
        <f t="shared" ref="P15:P21" si="20">O15</f>
        <v>9059.5763999999999</v>
      </c>
      <c r="Q15" s="59">
        <f>SUM(W15:AC15)</f>
        <v>9059.5763999999999</v>
      </c>
      <c r="R15" s="68">
        <v>1.048</v>
      </c>
      <c r="S15" s="68">
        <v>1.046</v>
      </c>
      <c r="T15" s="68">
        <v>1.046</v>
      </c>
      <c r="U15" s="68">
        <v>1.046</v>
      </c>
      <c r="V15" s="68">
        <v>1.046</v>
      </c>
      <c r="W15" s="59">
        <v>0</v>
      </c>
      <c r="X15" s="59">
        <f t="shared" ref="X15:X21" si="21">O15</f>
        <v>9059.5763999999999</v>
      </c>
      <c r="Y15" s="59">
        <v>0</v>
      </c>
      <c r="Z15" s="59">
        <v>0</v>
      </c>
      <c r="AA15" s="59">
        <v>0</v>
      </c>
      <c r="AB15" s="59">
        <v>0</v>
      </c>
      <c r="AC15" s="59">
        <v>0</v>
      </c>
      <c r="AD15" s="59">
        <f t="shared" ref="AD15:AD21" si="22">O15</f>
        <v>9059.5763999999999</v>
      </c>
      <c r="AE15" s="59">
        <f t="shared" ref="AE15:AE21" si="23">AD15</f>
        <v>9059.5763999999999</v>
      </c>
      <c r="AF15" s="77">
        <f t="shared" ref="AF15:AF21" si="24">AE15</f>
        <v>9059.5763999999999</v>
      </c>
      <c r="AG15" s="68">
        <v>1.091</v>
      </c>
      <c r="AH15" s="68">
        <v>1.0780000000000001</v>
      </c>
      <c r="AI15" s="68">
        <v>1.0529999999999999</v>
      </c>
      <c r="AJ15" s="68">
        <v>1.044</v>
      </c>
      <c r="AK15" s="68">
        <v>1.044</v>
      </c>
      <c r="AL15" s="68">
        <v>1.044</v>
      </c>
      <c r="AM15" s="59">
        <v>0</v>
      </c>
      <c r="AN15" s="59">
        <v>0</v>
      </c>
      <c r="AO15" s="59">
        <v>0</v>
      </c>
      <c r="AP15" s="59">
        <v>0</v>
      </c>
      <c r="AQ15" s="59">
        <v>0</v>
      </c>
      <c r="AS15" s="31"/>
    </row>
    <row r="16" spans="1:45" ht="85.5" customHeight="1" x14ac:dyDescent="0.25">
      <c r="A16" s="54">
        <v>5</v>
      </c>
      <c r="B16" s="66" t="s">
        <v>223</v>
      </c>
      <c r="C16" s="67" t="s">
        <v>224</v>
      </c>
      <c r="D16" s="54" t="s">
        <v>225</v>
      </c>
      <c r="E16" s="54" t="s">
        <v>82</v>
      </c>
      <c r="F16" s="54">
        <v>1</v>
      </c>
      <c r="G16" s="58" t="s">
        <v>226</v>
      </c>
      <c r="H16" s="59">
        <v>1288.9100000000001</v>
      </c>
      <c r="I16" s="59">
        <f t="shared" ref="I16:I18" si="25">H16*F16</f>
        <v>1288.9100000000001</v>
      </c>
      <c r="J16" s="59" t="s">
        <v>227</v>
      </c>
      <c r="K16" s="60">
        <v>1.41</v>
      </c>
      <c r="L16" s="59">
        <f t="shared" si="16"/>
        <v>1817.3631</v>
      </c>
      <c r="M16" s="59">
        <f t="shared" si="17"/>
        <v>1817.3631</v>
      </c>
      <c r="N16" s="59">
        <f t="shared" si="18"/>
        <v>363.47262000000001</v>
      </c>
      <c r="O16" s="59">
        <f t="shared" si="19"/>
        <v>2180.83572</v>
      </c>
      <c r="P16" s="59">
        <f t="shared" si="20"/>
        <v>2180.83572</v>
      </c>
      <c r="Q16" s="59">
        <f t="shared" ref="Q16:Q20" si="26">SUM(W16:AC16)</f>
        <v>2180.83572</v>
      </c>
      <c r="R16" s="68">
        <v>1.048</v>
      </c>
      <c r="S16" s="68">
        <v>1.046</v>
      </c>
      <c r="T16" s="68">
        <v>1.046</v>
      </c>
      <c r="U16" s="68">
        <v>1.046</v>
      </c>
      <c r="V16" s="68">
        <v>1.046</v>
      </c>
      <c r="W16" s="59">
        <v>0</v>
      </c>
      <c r="X16" s="59">
        <f t="shared" si="21"/>
        <v>2180.83572</v>
      </c>
      <c r="Y16" s="59">
        <v>0</v>
      </c>
      <c r="Z16" s="59">
        <v>0</v>
      </c>
      <c r="AA16" s="59">
        <v>0</v>
      </c>
      <c r="AB16" s="59">
        <v>0</v>
      </c>
      <c r="AC16" s="59">
        <v>0</v>
      </c>
      <c r="AD16" s="59">
        <f t="shared" si="22"/>
        <v>2180.83572</v>
      </c>
      <c r="AE16" s="59">
        <f t="shared" si="23"/>
        <v>2180.83572</v>
      </c>
      <c r="AF16" s="77">
        <f t="shared" si="24"/>
        <v>2180.83572</v>
      </c>
      <c r="AG16" s="68">
        <v>1.091</v>
      </c>
      <c r="AH16" s="68">
        <v>1.0780000000000001</v>
      </c>
      <c r="AI16" s="68">
        <v>1.0529999999999999</v>
      </c>
      <c r="AJ16" s="68">
        <v>1.044</v>
      </c>
      <c r="AK16" s="68">
        <v>1.044</v>
      </c>
      <c r="AL16" s="68">
        <v>1.044</v>
      </c>
      <c r="AM16" s="59">
        <v>0</v>
      </c>
      <c r="AN16" s="59">
        <v>0</v>
      </c>
      <c r="AO16" s="59">
        <v>0</v>
      </c>
      <c r="AP16" s="59">
        <v>0</v>
      </c>
      <c r="AQ16" s="59">
        <v>0</v>
      </c>
      <c r="AS16" s="31"/>
    </row>
    <row r="17" spans="1:45" ht="58.5" customHeight="1" x14ac:dyDescent="0.25">
      <c r="A17" s="54">
        <v>6</v>
      </c>
      <c r="B17" s="66" t="s">
        <v>228</v>
      </c>
      <c r="C17" s="67" t="s">
        <v>61</v>
      </c>
      <c r="D17" s="54" t="s">
        <v>229</v>
      </c>
      <c r="E17" s="54" t="s">
        <v>82</v>
      </c>
      <c r="F17" s="54">
        <v>1</v>
      </c>
      <c r="G17" s="58" t="s">
        <v>230</v>
      </c>
      <c r="H17" s="59">
        <v>1338.63</v>
      </c>
      <c r="I17" s="59">
        <f t="shared" si="25"/>
        <v>1338.63</v>
      </c>
      <c r="J17" s="59" t="s">
        <v>227</v>
      </c>
      <c r="K17" s="60">
        <v>1.41</v>
      </c>
      <c r="L17" s="59">
        <f t="shared" si="16"/>
        <v>1887.4683</v>
      </c>
      <c r="M17" s="59">
        <f t="shared" si="17"/>
        <v>1887.4683</v>
      </c>
      <c r="N17" s="59">
        <f t="shared" si="18"/>
        <v>377.49366000000003</v>
      </c>
      <c r="O17" s="59">
        <f t="shared" si="19"/>
        <v>2264.9619600000001</v>
      </c>
      <c r="P17" s="59">
        <f t="shared" si="20"/>
        <v>2264.9619600000001</v>
      </c>
      <c r="Q17" s="59">
        <f t="shared" si="26"/>
        <v>2264.9619600000001</v>
      </c>
      <c r="R17" s="68">
        <v>1.048</v>
      </c>
      <c r="S17" s="68">
        <v>1.046</v>
      </c>
      <c r="T17" s="68">
        <v>1.046</v>
      </c>
      <c r="U17" s="68">
        <v>1.046</v>
      </c>
      <c r="V17" s="68">
        <v>1.046</v>
      </c>
      <c r="W17" s="59">
        <v>0</v>
      </c>
      <c r="X17" s="59">
        <f t="shared" si="21"/>
        <v>2264.9619600000001</v>
      </c>
      <c r="Y17" s="59">
        <v>0</v>
      </c>
      <c r="Z17" s="59">
        <v>0</v>
      </c>
      <c r="AA17" s="59">
        <v>0</v>
      </c>
      <c r="AB17" s="59">
        <v>0</v>
      </c>
      <c r="AC17" s="59">
        <v>0</v>
      </c>
      <c r="AD17" s="59">
        <f t="shared" si="22"/>
        <v>2264.9619600000001</v>
      </c>
      <c r="AE17" s="59">
        <f t="shared" si="23"/>
        <v>2264.9619600000001</v>
      </c>
      <c r="AF17" s="77">
        <f t="shared" si="24"/>
        <v>2264.9619600000001</v>
      </c>
      <c r="AG17" s="68">
        <v>1.091</v>
      </c>
      <c r="AH17" s="68">
        <v>1.0780000000000001</v>
      </c>
      <c r="AI17" s="68">
        <v>1.0529999999999999</v>
      </c>
      <c r="AJ17" s="68">
        <v>1.044</v>
      </c>
      <c r="AK17" s="68">
        <v>1.044</v>
      </c>
      <c r="AL17" s="68">
        <v>1.044</v>
      </c>
      <c r="AM17" s="59">
        <v>0</v>
      </c>
      <c r="AN17" s="59">
        <v>0</v>
      </c>
      <c r="AO17" s="59">
        <v>0</v>
      </c>
      <c r="AP17" s="59">
        <v>0</v>
      </c>
      <c r="AQ17" s="59">
        <v>0</v>
      </c>
      <c r="AS17" s="31"/>
    </row>
    <row r="18" spans="1:45" ht="60" customHeight="1" x14ac:dyDescent="0.25">
      <c r="A18" s="54">
        <v>7</v>
      </c>
      <c r="B18" s="66" t="s">
        <v>231</v>
      </c>
      <c r="C18" s="67" t="s">
        <v>224</v>
      </c>
      <c r="D18" s="54" t="s">
        <v>229</v>
      </c>
      <c r="E18" s="54" t="s">
        <v>82</v>
      </c>
      <c r="F18" s="54">
        <v>1</v>
      </c>
      <c r="G18" s="58" t="s">
        <v>230</v>
      </c>
      <c r="H18" s="59">
        <v>1338.63</v>
      </c>
      <c r="I18" s="59">
        <f t="shared" si="25"/>
        <v>1338.63</v>
      </c>
      <c r="J18" s="59" t="s">
        <v>227</v>
      </c>
      <c r="K18" s="60">
        <v>1.41</v>
      </c>
      <c r="L18" s="59">
        <f t="shared" si="16"/>
        <v>1887.4683</v>
      </c>
      <c r="M18" s="59">
        <f t="shared" si="17"/>
        <v>1887.4683</v>
      </c>
      <c r="N18" s="59">
        <f t="shared" si="18"/>
        <v>377.49366000000003</v>
      </c>
      <c r="O18" s="59">
        <f t="shared" si="19"/>
        <v>2264.9619600000001</v>
      </c>
      <c r="P18" s="59">
        <f t="shared" si="20"/>
        <v>2264.9619600000001</v>
      </c>
      <c r="Q18" s="59">
        <f t="shared" si="26"/>
        <v>2264.9619600000001</v>
      </c>
      <c r="R18" s="68">
        <v>1.048</v>
      </c>
      <c r="S18" s="68">
        <v>1.046</v>
      </c>
      <c r="T18" s="68">
        <v>1.046</v>
      </c>
      <c r="U18" s="68">
        <v>1.046</v>
      </c>
      <c r="V18" s="68">
        <v>1.046</v>
      </c>
      <c r="W18" s="59">
        <v>0</v>
      </c>
      <c r="X18" s="59">
        <f t="shared" si="21"/>
        <v>2264.9619600000001</v>
      </c>
      <c r="Y18" s="59">
        <v>0</v>
      </c>
      <c r="Z18" s="59">
        <v>0</v>
      </c>
      <c r="AA18" s="59">
        <v>0</v>
      </c>
      <c r="AB18" s="59">
        <v>0</v>
      </c>
      <c r="AC18" s="59">
        <v>0</v>
      </c>
      <c r="AD18" s="59">
        <f t="shared" si="22"/>
        <v>2264.9619600000001</v>
      </c>
      <c r="AE18" s="59">
        <f t="shared" si="23"/>
        <v>2264.9619600000001</v>
      </c>
      <c r="AF18" s="77">
        <f t="shared" si="24"/>
        <v>2264.9619600000001</v>
      </c>
      <c r="AG18" s="68">
        <v>1.091</v>
      </c>
      <c r="AH18" s="68">
        <v>1.0780000000000001</v>
      </c>
      <c r="AI18" s="68">
        <v>1.0529999999999999</v>
      </c>
      <c r="AJ18" s="68">
        <v>1.044</v>
      </c>
      <c r="AK18" s="68">
        <v>1.044</v>
      </c>
      <c r="AL18" s="68">
        <v>1.044</v>
      </c>
      <c r="AM18" s="59">
        <v>0</v>
      </c>
      <c r="AN18" s="59">
        <v>0</v>
      </c>
      <c r="AO18" s="59">
        <v>0</v>
      </c>
      <c r="AP18" s="59">
        <v>0</v>
      </c>
      <c r="AQ18" s="59">
        <v>0</v>
      </c>
      <c r="AS18" s="31"/>
    </row>
    <row r="19" spans="1:45" ht="83.25" customHeight="1" x14ac:dyDescent="0.25">
      <c r="A19" s="54">
        <v>8</v>
      </c>
      <c r="B19" s="66" t="s">
        <v>232</v>
      </c>
      <c r="C19" s="67" t="s">
        <v>61</v>
      </c>
      <c r="D19" s="54" t="s">
        <v>162</v>
      </c>
      <c r="E19" s="54" t="s">
        <v>82</v>
      </c>
      <c r="F19" s="54">
        <v>1</v>
      </c>
      <c r="G19" s="58" t="s">
        <v>174</v>
      </c>
      <c r="H19" s="59">
        <v>2409.41</v>
      </c>
      <c r="I19" s="59">
        <f t="shared" ref="I19:I25" si="27">F19*H19</f>
        <v>2409.41</v>
      </c>
      <c r="J19" s="59" t="s">
        <v>165</v>
      </c>
      <c r="K19" s="60">
        <v>1.44</v>
      </c>
      <c r="L19" s="59">
        <f t="shared" ref="L19:L21" si="28">I19*K19</f>
        <v>3469.5503999999996</v>
      </c>
      <c r="M19" s="59">
        <f t="shared" si="17"/>
        <v>3469.5503999999996</v>
      </c>
      <c r="N19" s="59">
        <f t="shared" si="18"/>
        <v>693.91007999999999</v>
      </c>
      <c r="O19" s="59">
        <f t="shared" si="19"/>
        <v>4163.4604799999997</v>
      </c>
      <c r="P19" s="59">
        <f t="shared" si="20"/>
        <v>4163.4604799999997</v>
      </c>
      <c r="Q19" s="59">
        <f t="shared" si="26"/>
        <v>4163.4604799999997</v>
      </c>
      <c r="R19" s="68">
        <v>1.048</v>
      </c>
      <c r="S19" s="68">
        <v>1.046</v>
      </c>
      <c r="T19" s="68">
        <v>1.046</v>
      </c>
      <c r="U19" s="68">
        <v>1.046</v>
      </c>
      <c r="V19" s="68">
        <v>1.046</v>
      </c>
      <c r="W19" s="59">
        <v>0</v>
      </c>
      <c r="X19" s="59">
        <f>O19</f>
        <v>4163.4604799999997</v>
      </c>
      <c r="Y19" s="59">
        <v>0</v>
      </c>
      <c r="Z19" s="59">
        <v>0</v>
      </c>
      <c r="AA19" s="59">
        <v>0</v>
      </c>
      <c r="AB19" s="59">
        <v>0</v>
      </c>
      <c r="AC19" s="59">
        <v>0</v>
      </c>
      <c r="AD19" s="59">
        <f t="shared" si="22"/>
        <v>4163.4604799999997</v>
      </c>
      <c r="AE19" s="59">
        <f t="shared" si="23"/>
        <v>4163.4604799999997</v>
      </c>
      <c r="AF19" s="77">
        <f t="shared" si="24"/>
        <v>4163.4604799999997</v>
      </c>
      <c r="AG19" s="68">
        <v>1.091</v>
      </c>
      <c r="AH19" s="68">
        <v>1.0780000000000001</v>
      </c>
      <c r="AI19" s="68">
        <v>1.0529999999999999</v>
      </c>
      <c r="AJ19" s="68">
        <v>1.044</v>
      </c>
      <c r="AK19" s="68">
        <v>1.044</v>
      </c>
      <c r="AL19" s="68">
        <v>1.044</v>
      </c>
      <c r="AM19" s="59">
        <v>0</v>
      </c>
      <c r="AN19" s="59">
        <v>0</v>
      </c>
      <c r="AO19" s="59">
        <v>0</v>
      </c>
      <c r="AP19" s="59">
        <v>0</v>
      </c>
      <c r="AQ19" s="59">
        <v>0</v>
      </c>
      <c r="AS19" s="31"/>
    </row>
    <row r="20" spans="1:45" ht="95.25" customHeight="1" x14ac:dyDescent="0.25">
      <c r="A20" s="54">
        <v>9</v>
      </c>
      <c r="B20" s="66" t="s">
        <v>233</v>
      </c>
      <c r="C20" s="69" t="s">
        <v>62</v>
      </c>
      <c r="D20" s="54" t="s">
        <v>162</v>
      </c>
      <c r="E20" s="54" t="s">
        <v>82</v>
      </c>
      <c r="F20" s="54">
        <v>1</v>
      </c>
      <c r="G20" s="58" t="s">
        <v>174</v>
      </c>
      <c r="H20" s="59">
        <v>2409.41</v>
      </c>
      <c r="I20" s="59">
        <f t="shared" si="27"/>
        <v>2409.41</v>
      </c>
      <c r="J20" s="59" t="s">
        <v>165</v>
      </c>
      <c r="K20" s="60">
        <v>1.44</v>
      </c>
      <c r="L20" s="59">
        <f t="shared" si="28"/>
        <v>3469.5503999999996</v>
      </c>
      <c r="M20" s="59">
        <f t="shared" si="17"/>
        <v>3469.5503999999996</v>
      </c>
      <c r="N20" s="59">
        <f t="shared" si="18"/>
        <v>693.91007999999999</v>
      </c>
      <c r="O20" s="59">
        <f t="shared" si="19"/>
        <v>4163.4604799999997</v>
      </c>
      <c r="P20" s="59">
        <f t="shared" si="20"/>
        <v>4163.4604799999997</v>
      </c>
      <c r="Q20" s="59">
        <f t="shared" si="26"/>
        <v>4163.4604799999997</v>
      </c>
      <c r="R20" s="68">
        <v>1.048</v>
      </c>
      <c r="S20" s="68">
        <v>1.046</v>
      </c>
      <c r="T20" s="68">
        <v>1.046</v>
      </c>
      <c r="U20" s="68">
        <v>1.046</v>
      </c>
      <c r="V20" s="68">
        <v>1.046</v>
      </c>
      <c r="W20" s="59">
        <v>0</v>
      </c>
      <c r="X20" s="59">
        <f t="shared" si="21"/>
        <v>4163.4604799999997</v>
      </c>
      <c r="Y20" s="59">
        <v>0</v>
      </c>
      <c r="Z20" s="59">
        <v>0</v>
      </c>
      <c r="AA20" s="59">
        <v>0</v>
      </c>
      <c r="AB20" s="59">
        <v>0</v>
      </c>
      <c r="AC20" s="59">
        <v>0</v>
      </c>
      <c r="AD20" s="59">
        <f t="shared" si="22"/>
        <v>4163.4604799999997</v>
      </c>
      <c r="AE20" s="59">
        <f t="shared" si="23"/>
        <v>4163.4604799999997</v>
      </c>
      <c r="AF20" s="77">
        <f t="shared" si="24"/>
        <v>4163.4604799999997</v>
      </c>
      <c r="AG20" s="68">
        <v>1.091</v>
      </c>
      <c r="AH20" s="68">
        <v>1.0780000000000001</v>
      </c>
      <c r="AI20" s="68">
        <v>1.0529999999999999</v>
      </c>
      <c r="AJ20" s="68">
        <v>1.044</v>
      </c>
      <c r="AK20" s="68">
        <v>1.044</v>
      </c>
      <c r="AL20" s="68">
        <v>1.044</v>
      </c>
      <c r="AM20" s="59">
        <v>0</v>
      </c>
      <c r="AN20" s="59">
        <v>0</v>
      </c>
      <c r="AO20" s="59">
        <v>0</v>
      </c>
      <c r="AP20" s="59">
        <v>0</v>
      </c>
      <c r="AQ20" s="59">
        <v>0</v>
      </c>
      <c r="AS20" s="31"/>
    </row>
    <row r="21" spans="1:45" ht="81.75" customHeight="1" x14ac:dyDescent="0.25">
      <c r="A21" s="109">
        <v>10</v>
      </c>
      <c r="B21" s="110" t="s">
        <v>234</v>
      </c>
      <c r="C21" s="113">
        <v>6</v>
      </c>
      <c r="D21" s="54" t="s">
        <v>206</v>
      </c>
      <c r="E21" s="54" t="s">
        <v>33</v>
      </c>
      <c r="F21" s="54">
        <v>0.4</v>
      </c>
      <c r="G21" s="58" t="s">
        <v>205</v>
      </c>
      <c r="H21" s="59">
        <v>1929.53</v>
      </c>
      <c r="I21" s="59">
        <f t="shared" si="27"/>
        <v>771.81200000000001</v>
      </c>
      <c r="J21" s="59" t="s">
        <v>207</v>
      </c>
      <c r="K21" s="60">
        <v>1.62</v>
      </c>
      <c r="L21" s="59">
        <f t="shared" si="28"/>
        <v>1250.3354400000001</v>
      </c>
      <c r="M21" s="103">
        <f>SUM(L21:L25)</f>
        <v>4116.1892103999999</v>
      </c>
      <c r="N21" s="103">
        <f>M21*0.2</f>
        <v>823.23784208000006</v>
      </c>
      <c r="O21" s="103">
        <f>M21+N21</f>
        <v>4939.4270524799995</v>
      </c>
      <c r="P21" s="103">
        <f t="shared" si="20"/>
        <v>4939.4270524799995</v>
      </c>
      <c r="Q21" s="103">
        <f>SUM(W21:AC25)</f>
        <v>4939.4270524799995</v>
      </c>
      <c r="R21" s="106">
        <v>1.046</v>
      </c>
      <c r="S21" s="106">
        <v>1.042</v>
      </c>
      <c r="T21" s="106">
        <v>1.042</v>
      </c>
      <c r="U21" s="106">
        <v>1.042</v>
      </c>
      <c r="V21" s="106">
        <v>1.042</v>
      </c>
      <c r="W21" s="103">
        <v>0</v>
      </c>
      <c r="X21" s="103">
        <f t="shared" si="21"/>
        <v>4939.4270524799995</v>
      </c>
      <c r="Y21" s="103">
        <v>0</v>
      </c>
      <c r="Z21" s="103">
        <v>0</v>
      </c>
      <c r="AA21" s="103">
        <v>0</v>
      </c>
      <c r="AB21" s="103">
        <v>0</v>
      </c>
      <c r="AC21" s="103">
        <v>0</v>
      </c>
      <c r="AD21" s="103">
        <f t="shared" si="22"/>
        <v>4939.4270524799995</v>
      </c>
      <c r="AE21" s="103">
        <f t="shared" si="23"/>
        <v>4939.4270524799995</v>
      </c>
      <c r="AF21" s="124">
        <f t="shared" si="24"/>
        <v>4939.4270524799995</v>
      </c>
      <c r="AG21" s="106">
        <v>1.0740000000000001</v>
      </c>
      <c r="AH21" s="106">
        <v>1.0609999999999999</v>
      </c>
      <c r="AI21" s="106">
        <v>1.0529999999999999</v>
      </c>
      <c r="AJ21" s="106">
        <v>1.0449999999999999</v>
      </c>
      <c r="AK21" s="106">
        <v>1.0449999999999999</v>
      </c>
      <c r="AL21" s="106">
        <v>1.0449999999999999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S21" s="31"/>
    </row>
    <row r="22" spans="1:45" ht="70.5" customHeight="1" x14ac:dyDescent="0.25">
      <c r="A22" s="109"/>
      <c r="B22" s="111"/>
      <c r="C22" s="114"/>
      <c r="D22" s="54" t="s">
        <v>41</v>
      </c>
      <c r="E22" s="54" t="s">
        <v>42</v>
      </c>
      <c r="F22" s="54">
        <v>15.82</v>
      </c>
      <c r="G22" s="58" t="s">
        <v>43</v>
      </c>
      <c r="H22" s="70">
        <v>24.86</v>
      </c>
      <c r="I22" s="70">
        <f t="shared" si="27"/>
        <v>393.28519999999997</v>
      </c>
      <c r="J22" s="70" t="s">
        <v>194</v>
      </c>
      <c r="K22" s="71">
        <v>1.1100000000000001</v>
      </c>
      <c r="L22" s="70">
        <f>I22*K22</f>
        <v>436.54657200000003</v>
      </c>
      <c r="M22" s="104"/>
      <c r="N22" s="104"/>
      <c r="O22" s="104"/>
      <c r="P22" s="104"/>
      <c r="Q22" s="104"/>
      <c r="R22" s="107"/>
      <c r="S22" s="107"/>
      <c r="T22" s="107"/>
      <c r="U22" s="107"/>
      <c r="V22" s="107"/>
      <c r="W22" s="104"/>
      <c r="X22" s="104"/>
      <c r="Y22" s="104"/>
      <c r="Z22" s="104"/>
      <c r="AA22" s="104"/>
      <c r="AB22" s="104"/>
      <c r="AC22" s="104"/>
      <c r="AD22" s="104"/>
      <c r="AE22" s="104"/>
      <c r="AF22" s="125"/>
      <c r="AG22" s="107"/>
      <c r="AH22" s="107"/>
      <c r="AI22" s="107"/>
      <c r="AJ22" s="107"/>
      <c r="AK22" s="107"/>
      <c r="AL22" s="107"/>
      <c r="AM22" s="104"/>
      <c r="AN22" s="104"/>
      <c r="AO22" s="104"/>
      <c r="AP22" s="104"/>
      <c r="AQ22" s="104"/>
      <c r="AS22" s="31"/>
    </row>
    <row r="23" spans="1:45" ht="74.25" customHeight="1" x14ac:dyDescent="0.25">
      <c r="A23" s="109"/>
      <c r="B23" s="111"/>
      <c r="C23" s="114"/>
      <c r="D23" s="54" t="s">
        <v>45</v>
      </c>
      <c r="E23" s="54" t="s">
        <v>33</v>
      </c>
      <c r="F23" s="54">
        <v>1.1379999999999999</v>
      </c>
      <c r="G23" s="58" t="s">
        <v>46</v>
      </c>
      <c r="H23" s="59">
        <v>1529.52</v>
      </c>
      <c r="I23" s="59">
        <f t="shared" si="27"/>
        <v>1740.5937599999997</v>
      </c>
      <c r="J23" s="59" t="s">
        <v>195</v>
      </c>
      <c r="K23" s="60">
        <v>1.0900000000000001</v>
      </c>
      <c r="L23" s="59">
        <f t="shared" ref="L23" si="29">I23*K23</f>
        <v>1897.2471983999999</v>
      </c>
      <c r="M23" s="104"/>
      <c r="N23" s="104"/>
      <c r="O23" s="104"/>
      <c r="P23" s="104"/>
      <c r="Q23" s="104"/>
      <c r="R23" s="107"/>
      <c r="S23" s="107"/>
      <c r="T23" s="107"/>
      <c r="U23" s="107"/>
      <c r="V23" s="107"/>
      <c r="W23" s="104"/>
      <c r="X23" s="104"/>
      <c r="Y23" s="104"/>
      <c r="Z23" s="104"/>
      <c r="AA23" s="104"/>
      <c r="AB23" s="104"/>
      <c r="AC23" s="104"/>
      <c r="AD23" s="104"/>
      <c r="AE23" s="104"/>
      <c r="AF23" s="125"/>
      <c r="AG23" s="107"/>
      <c r="AH23" s="107"/>
      <c r="AI23" s="107"/>
      <c r="AJ23" s="107"/>
      <c r="AK23" s="107"/>
      <c r="AL23" s="107"/>
      <c r="AM23" s="104"/>
      <c r="AN23" s="104"/>
      <c r="AO23" s="104"/>
      <c r="AP23" s="104"/>
      <c r="AQ23" s="104"/>
      <c r="AS23" s="31"/>
    </row>
    <row r="24" spans="1:45" ht="81.75" customHeight="1" x14ac:dyDescent="0.25">
      <c r="A24" s="109"/>
      <c r="B24" s="111"/>
      <c r="C24" s="114"/>
      <c r="D24" s="54" t="s">
        <v>196</v>
      </c>
      <c r="E24" s="54" t="s">
        <v>44</v>
      </c>
      <c r="F24" s="54">
        <v>0.3</v>
      </c>
      <c r="G24" s="58" t="s">
        <v>204</v>
      </c>
      <c r="H24" s="70">
        <v>355.2</v>
      </c>
      <c r="I24" s="70">
        <f>F24*H24</f>
        <v>106.55999999999999</v>
      </c>
      <c r="J24" s="70" t="s">
        <v>35</v>
      </c>
      <c r="K24" s="71" t="s">
        <v>35</v>
      </c>
      <c r="L24" s="70">
        <f>I24</f>
        <v>106.55999999999999</v>
      </c>
      <c r="M24" s="104"/>
      <c r="N24" s="104"/>
      <c r="O24" s="104"/>
      <c r="P24" s="104"/>
      <c r="Q24" s="104"/>
      <c r="R24" s="107"/>
      <c r="S24" s="107"/>
      <c r="T24" s="107"/>
      <c r="U24" s="107"/>
      <c r="V24" s="107"/>
      <c r="W24" s="104"/>
      <c r="X24" s="104"/>
      <c r="Y24" s="104"/>
      <c r="Z24" s="104"/>
      <c r="AA24" s="104"/>
      <c r="AB24" s="104"/>
      <c r="AC24" s="104"/>
      <c r="AD24" s="104"/>
      <c r="AE24" s="104"/>
      <c r="AF24" s="125"/>
      <c r="AG24" s="107"/>
      <c r="AH24" s="107"/>
      <c r="AI24" s="107"/>
      <c r="AJ24" s="107"/>
      <c r="AK24" s="107"/>
      <c r="AL24" s="107"/>
      <c r="AM24" s="104"/>
      <c r="AN24" s="104"/>
      <c r="AO24" s="104"/>
      <c r="AP24" s="104"/>
      <c r="AQ24" s="104"/>
      <c r="AS24" s="31"/>
    </row>
    <row r="25" spans="1:45" ht="39" customHeight="1" x14ac:dyDescent="0.25">
      <c r="A25" s="109"/>
      <c r="B25" s="112"/>
      <c r="C25" s="115"/>
      <c r="D25" s="54" t="s">
        <v>219</v>
      </c>
      <c r="E25" s="54" t="s">
        <v>38</v>
      </c>
      <c r="F25" s="54">
        <v>1</v>
      </c>
      <c r="G25" s="58" t="s">
        <v>240</v>
      </c>
      <c r="H25" s="59">
        <v>425.5</v>
      </c>
      <c r="I25" s="59">
        <f t="shared" si="27"/>
        <v>425.5</v>
      </c>
      <c r="J25" s="59" t="s">
        <v>35</v>
      </c>
      <c r="K25" s="59" t="s">
        <v>35</v>
      </c>
      <c r="L25" s="59">
        <f>I25</f>
        <v>425.5</v>
      </c>
      <c r="M25" s="105"/>
      <c r="N25" s="105"/>
      <c r="O25" s="105"/>
      <c r="P25" s="105"/>
      <c r="Q25" s="105"/>
      <c r="R25" s="108"/>
      <c r="S25" s="108"/>
      <c r="T25" s="108"/>
      <c r="U25" s="108"/>
      <c r="V25" s="108"/>
      <c r="W25" s="105"/>
      <c r="X25" s="105"/>
      <c r="Y25" s="105"/>
      <c r="Z25" s="105"/>
      <c r="AA25" s="105"/>
      <c r="AB25" s="105"/>
      <c r="AC25" s="105"/>
      <c r="AD25" s="105"/>
      <c r="AE25" s="105"/>
      <c r="AF25" s="126"/>
      <c r="AG25" s="108"/>
      <c r="AH25" s="108"/>
      <c r="AI25" s="108"/>
      <c r="AJ25" s="108"/>
      <c r="AK25" s="108"/>
      <c r="AL25" s="108"/>
      <c r="AM25" s="105"/>
      <c r="AN25" s="105"/>
      <c r="AO25" s="105"/>
      <c r="AP25" s="105"/>
      <c r="AQ25" s="105"/>
      <c r="AS25" s="31"/>
    </row>
    <row r="26" spans="1:45" ht="60" customHeight="1" x14ac:dyDescent="0.3">
      <c r="A26" s="142">
        <v>11</v>
      </c>
      <c r="B26" s="110" t="s">
        <v>63</v>
      </c>
      <c r="C26" s="117" t="s">
        <v>60</v>
      </c>
      <c r="D26" s="54" t="s">
        <v>78</v>
      </c>
      <c r="E26" s="54" t="s">
        <v>36</v>
      </c>
      <c r="F26" s="54">
        <v>7</v>
      </c>
      <c r="G26" s="32" t="s">
        <v>79</v>
      </c>
      <c r="H26" s="59">
        <v>27469.919999999998</v>
      </c>
      <c r="I26" s="59">
        <f>F26*H26</f>
        <v>192289.44</v>
      </c>
      <c r="J26" s="59" t="s">
        <v>165</v>
      </c>
      <c r="K26" s="60">
        <v>1.44</v>
      </c>
      <c r="L26" s="59">
        <f>I26*K26</f>
        <v>276896.79359999998</v>
      </c>
      <c r="M26" s="103">
        <f>SUM(L26:L32)</f>
        <v>329494.0208</v>
      </c>
      <c r="N26" s="103">
        <f>M26*0.2</f>
        <v>65898.80416</v>
      </c>
      <c r="O26" s="103">
        <f>M26+N26</f>
        <v>395392.82496</v>
      </c>
      <c r="P26" s="103">
        <f>O26</f>
        <v>395392.82496</v>
      </c>
      <c r="Q26" s="103">
        <f>SUM(W26:AC32)</f>
        <v>432248.07216691971</v>
      </c>
      <c r="R26" s="106">
        <v>1.048</v>
      </c>
      <c r="S26" s="106">
        <v>1.046</v>
      </c>
      <c r="T26" s="106">
        <v>1.046</v>
      </c>
      <c r="U26" s="106">
        <v>1.046</v>
      </c>
      <c r="V26" s="106">
        <v>1.046</v>
      </c>
      <c r="W26" s="103">
        <f>L32*1.2</f>
        <v>12314.003999999999</v>
      </c>
      <c r="X26" s="103">
        <v>0</v>
      </c>
      <c r="Y26" s="103">
        <v>0</v>
      </c>
      <c r="Z26" s="103">
        <f>SUM(L26:L31)*1.2*R26*S26</f>
        <v>419934.06816691969</v>
      </c>
      <c r="AA26" s="103">
        <v>0</v>
      </c>
      <c r="AB26" s="103">
        <v>0</v>
      </c>
      <c r="AC26" s="103">
        <v>0</v>
      </c>
      <c r="AD26" s="103">
        <f>O26</f>
        <v>395392.82496</v>
      </c>
      <c r="AE26" s="103">
        <f>AD26</f>
        <v>395392.82496</v>
      </c>
      <c r="AF26" s="103">
        <f>SUM(AM26:AQ32)</f>
        <v>489666.80831424583</v>
      </c>
      <c r="AG26" s="106">
        <v>1.091</v>
      </c>
      <c r="AH26" s="106">
        <v>1.0780000000000001</v>
      </c>
      <c r="AI26" s="106">
        <v>1.0529999999999999</v>
      </c>
      <c r="AJ26" s="106">
        <v>1.044</v>
      </c>
      <c r="AK26" s="106">
        <v>1.044</v>
      </c>
      <c r="AL26" s="106">
        <v>1.044</v>
      </c>
      <c r="AM26" s="103">
        <v>0</v>
      </c>
      <c r="AN26" s="103">
        <f>AD26*AG26*AH26*AI26</f>
        <v>489666.80831424583</v>
      </c>
      <c r="AO26" s="103">
        <v>0</v>
      </c>
      <c r="AP26" s="103">
        <v>0</v>
      </c>
      <c r="AQ26" s="103">
        <v>0</v>
      </c>
    </row>
    <row r="27" spans="1:45" ht="69.75" customHeight="1" x14ac:dyDescent="0.3">
      <c r="A27" s="143"/>
      <c r="B27" s="111"/>
      <c r="C27" s="118"/>
      <c r="D27" s="54" t="s">
        <v>81</v>
      </c>
      <c r="E27" s="54" t="s">
        <v>36</v>
      </c>
      <c r="F27" s="54">
        <v>3</v>
      </c>
      <c r="G27" s="58" t="s">
        <v>80</v>
      </c>
      <c r="H27" s="59">
        <v>5058.3</v>
      </c>
      <c r="I27" s="59">
        <f>F27*H27</f>
        <v>15174.900000000001</v>
      </c>
      <c r="J27" s="59" t="s">
        <v>165</v>
      </c>
      <c r="K27" s="60">
        <v>1.44</v>
      </c>
      <c r="L27" s="59">
        <f t="shared" ref="L27:L41" si="30">I27*K27</f>
        <v>21851.856</v>
      </c>
      <c r="M27" s="104"/>
      <c r="N27" s="104"/>
      <c r="O27" s="104"/>
      <c r="P27" s="104"/>
      <c r="Q27" s="104"/>
      <c r="R27" s="107"/>
      <c r="S27" s="107"/>
      <c r="T27" s="107"/>
      <c r="U27" s="107"/>
      <c r="V27" s="107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7"/>
      <c r="AH27" s="107"/>
      <c r="AI27" s="107"/>
      <c r="AJ27" s="107"/>
      <c r="AK27" s="107"/>
      <c r="AL27" s="107"/>
      <c r="AM27" s="104"/>
      <c r="AN27" s="104"/>
      <c r="AO27" s="104"/>
      <c r="AP27" s="104"/>
      <c r="AQ27" s="104"/>
    </row>
    <row r="28" spans="1:45" ht="56.25" customHeight="1" x14ac:dyDescent="0.3">
      <c r="A28" s="143"/>
      <c r="B28" s="111"/>
      <c r="C28" s="118"/>
      <c r="D28" s="54" t="s">
        <v>162</v>
      </c>
      <c r="E28" s="54" t="s">
        <v>82</v>
      </c>
      <c r="F28" s="54">
        <v>1</v>
      </c>
      <c r="G28" s="58" t="s">
        <v>164</v>
      </c>
      <c r="H28" s="59">
        <v>2409.41</v>
      </c>
      <c r="I28" s="59">
        <f>F28*H28</f>
        <v>2409.41</v>
      </c>
      <c r="J28" s="59" t="s">
        <v>165</v>
      </c>
      <c r="K28" s="60">
        <v>1.44</v>
      </c>
      <c r="L28" s="59">
        <f t="shared" si="30"/>
        <v>3469.5503999999996</v>
      </c>
      <c r="M28" s="104"/>
      <c r="N28" s="104"/>
      <c r="O28" s="104"/>
      <c r="P28" s="104"/>
      <c r="Q28" s="104"/>
      <c r="R28" s="107"/>
      <c r="S28" s="107"/>
      <c r="T28" s="107"/>
      <c r="U28" s="107"/>
      <c r="V28" s="107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7"/>
      <c r="AH28" s="107"/>
      <c r="AI28" s="107"/>
      <c r="AJ28" s="107"/>
      <c r="AK28" s="107"/>
      <c r="AL28" s="107"/>
      <c r="AM28" s="104"/>
      <c r="AN28" s="104"/>
      <c r="AO28" s="104"/>
      <c r="AP28" s="104"/>
      <c r="AQ28" s="104"/>
    </row>
    <row r="29" spans="1:45" ht="81" customHeight="1" x14ac:dyDescent="0.3">
      <c r="A29" s="143"/>
      <c r="B29" s="111"/>
      <c r="C29" s="118"/>
      <c r="D29" s="54" t="s">
        <v>166</v>
      </c>
      <c r="E29" s="54" t="s">
        <v>82</v>
      </c>
      <c r="F29" s="54">
        <v>2</v>
      </c>
      <c r="G29" s="58" t="s">
        <v>167</v>
      </c>
      <c r="H29" s="59">
        <v>2078.36</v>
      </c>
      <c r="I29" s="59">
        <f t="shared" ref="I29" si="31">F29*H29</f>
        <v>4156.72</v>
      </c>
      <c r="J29" s="59" t="s">
        <v>168</v>
      </c>
      <c r="K29" s="60">
        <v>1.53</v>
      </c>
      <c r="L29" s="59">
        <f>I29*K29</f>
        <v>6359.7816000000003</v>
      </c>
      <c r="M29" s="104"/>
      <c r="N29" s="104"/>
      <c r="O29" s="104"/>
      <c r="P29" s="104"/>
      <c r="Q29" s="104"/>
      <c r="R29" s="107"/>
      <c r="S29" s="107"/>
      <c r="T29" s="107"/>
      <c r="U29" s="107"/>
      <c r="V29" s="107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7"/>
      <c r="AH29" s="107"/>
      <c r="AI29" s="107"/>
      <c r="AJ29" s="107"/>
      <c r="AK29" s="107"/>
      <c r="AL29" s="107"/>
      <c r="AM29" s="104"/>
      <c r="AN29" s="104"/>
      <c r="AO29" s="104"/>
      <c r="AP29" s="104"/>
      <c r="AQ29" s="104"/>
    </row>
    <row r="30" spans="1:45" ht="69.75" customHeight="1" x14ac:dyDescent="0.3">
      <c r="A30" s="143"/>
      <c r="B30" s="111"/>
      <c r="C30" s="118"/>
      <c r="D30" s="54" t="s">
        <v>169</v>
      </c>
      <c r="E30" s="54" t="s">
        <v>82</v>
      </c>
      <c r="F30" s="54">
        <v>2</v>
      </c>
      <c r="G30" s="58" t="s">
        <v>170</v>
      </c>
      <c r="H30" s="59">
        <v>2431.7800000000002</v>
      </c>
      <c r="I30" s="59">
        <f t="shared" ref="I30" si="32">F30*H30</f>
        <v>4863.5600000000004</v>
      </c>
      <c r="J30" s="59" t="s">
        <v>168</v>
      </c>
      <c r="K30" s="60">
        <v>1.53</v>
      </c>
      <c r="L30" s="59">
        <f t="shared" si="30"/>
        <v>7441.2468000000008</v>
      </c>
      <c r="M30" s="104"/>
      <c r="N30" s="104"/>
      <c r="O30" s="104"/>
      <c r="P30" s="104"/>
      <c r="Q30" s="104"/>
      <c r="R30" s="107"/>
      <c r="S30" s="107"/>
      <c r="T30" s="107"/>
      <c r="U30" s="107"/>
      <c r="V30" s="107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7"/>
      <c r="AH30" s="107"/>
      <c r="AI30" s="107"/>
      <c r="AJ30" s="107"/>
      <c r="AK30" s="107"/>
      <c r="AL30" s="107"/>
      <c r="AM30" s="104"/>
      <c r="AN30" s="104"/>
      <c r="AO30" s="104"/>
      <c r="AP30" s="104"/>
      <c r="AQ30" s="104"/>
    </row>
    <row r="31" spans="1:45" ht="36" customHeight="1" x14ac:dyDescent="0.3">
      <c r="A31" s="143"/>
      <c r="B31" s="111"/>
      <c r="C31" s="118"/>
      <c r="D31" s="54" t="s">
        <v>163</v>
      </c>
      <c r="E31" s="54" t="s">
        <v>82</v>
      </c>
      <c r="F31" s="54">
        <v>1</v>
      </c>
      <c r="G31" s="58" t="s">
        <v>83</v>
      </c>
      <c r="H31" s="59">
        <v>2100.08</v>
      </c>
      <c r="I31" s="59">
        <f t="shared" ref="I31" si="33">F31*H31</f>
        <v>2100.08</v>
      </c>
      <c r="J31" s="59" t="s">
        <v>165</v>
      </c>
      <c r="K31" s="60">
        <v>1.53</v>
      </c>
      <c r="L31" s="59">
        <f t="shared" ref="L31" si="34">I31*K31</f>
        <v>3213.1223999999997</v>
      </c>
      <c r="M31" s="104"/>
      <c r="N31" s="104"/>
      <c r="O31" s="104"/>
      <c r="P31" s="104"/>
      <c r="Q31" s="104"/>
      <c r="R31" s="107"/>
      <c r="S31" s="107"/>
      <c r="T31" s="107"/>
      <c r="U31" s="107"/>
      <c r="V31" s="107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7"/>
      <c r="AH31" s="107"/>
      <c r="AI31" s="107"/>
      <c r="AJ31" s="107"/>
      <c r="AK31" s="107"/>
      <c r="AL31" s="107"/>
      <c r="AM31" s="104"/>
      <c r="AN31" s="104"/>
      <c r="AO31" s="104"/>
      <c r="AP31" s="104"/>
      <c r="AQ31" s="104"/>
    </row>
    <row r="32" spans="1:45" ht="48" customHeight="1" x14ac:dyDescent="0.3">
      <c r="A32" s="144"/>
      <c r="B32" s="112"/>
      <c r="C32" s="119"/>
      <c r="D32" s="54" t="s">
        <v>159</v>
      </c>
      <c r="E32" s="54" t="s">
        <v>160</v>
      </c>
      <c r="F32" s="54">
        <v>1</v>
      </c>
      <c r="G32" s="58" t="s">
        <v>161</v>
      </c>
      <c r="H32" s="59">
        <v>10261.67</v>
      </c>
      <c r="I32" s="59">
        <f>H32*F32</f>
        <v>10261.67</v>
      </c>
      <c r="J32" s="59" t="s">
        <v>35</v>
      </c>
      <c r="K32" s="60" t="s">
        <v>35</v>
      </c>
      <c r="L32" s="59">
        <f>I32</f>
        <v>10261.67</v>
      </c>
      <c r="M32" s="105"/>
      <c r="N32" s="105"/>
      <c r="O32" s="105"/>
      <c r="P32" s="105"/>
      <c r="Q32" s="105"/>
      <c r="R32" s="108"/>
      <c r="S32" s="108"/>
      <c r="T32" s="108"/>
      <c r="U32" s="108"/>
      <c r="V32" s="108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8"/>
      <c r="AH32" s="108"/>
      <c r="AI32" s="108"/>
      <c r="AJ32" s="108"/>
      <c r="AK32" s="108"/>
      <c r="AL32" s="108"/>
      <c r="AM32" s="105"/>
      <c r="AN32" s="105"/>
      <c r="AO32" s="105"/>
      <c r="AP32" s="105"/>
      <c r="AQ32" s="105"/>
    </row>
    <row r="33" spans="1:43" ht="75" customHeight="1" x14ac:dyDescent="0.3">
      <c r="A33" s="109">
        <v>12</v>
      </c>
      <c r="B33" s="116" t="s">
        <v>64</v>
      </c>
      <c r="C33" s="137" t="s">
        <v>60</v>
      </c>
      <c r="D33" s="54" t="s">
        <v>88</v>
      </c>
      <c r="E33" s="54" t="s">
        <v>36</v>
      </c>
      <c r="F33" s="54">
        <v>23</v>
      </c>
      <c r="G33" s="32" t="s">
        <v>89</v>
      </c>
      <c r="H33" s="59">
        <v>5058.3</v>
      </c>
      <c r="I33" s="59">
        <f>F33*H33</f>
        <v>116340.90000000001</v>
      </c>
      <c r="J33" s="59" t="s">
        <v>165</v>
      </c>
      <c r="K33" s="60">
        <v>1.44</v>
      </c>
      <c r="L33" s="59">
        <f t="shared" si="30"/>
        <v>167530.89600000001</v>
      </c>
      <c r="M33" s="103">
        <f>SUM(L33:L43)</f>
        <v>240700.44284999999</v>
      </c>
      <c r="N33" s="103">
        <f>M33*0.2</f>
        <v>48140.08857</v>
      </c>
      <c r="O33" s="103">
        <f>M33+N33</f>
        <v>288840.53142000001</v>
      </c>
      <c r="P33" s="103">
        <f>O33</f>
        <v>288840.53142000001</v>
      </c>
      <c r="Q33" s="103">
        <f>SUM(W33:AC43)</f>
        <v>302704.87692816003</v>
      </c>
      <c r="R33" s="106">
        <v>1.048</v>
      </c>
      <c r="S33" s="106">
        <v>1.046</v>
      </c>
      <c r="T33" s="106">
        <v>1.046</v>
      </c>
      <c r="U33" s="106">
        <v>1.046</v>
      </c>
      <c r="V33" s="106">
        <v>1.046</v>
      </c>
      <c r="W33" s="103">
        <v>0</v>
      </c>
      <c r="X33" s="103">
        <v>0</v>
      </c>
      <c r="Y33" s="103">
        <f>O33*R33</f>
        <v>302704.87692816003</v>
      </c>
      <c r="Z33" s="103">
        <v>0</v>
      </c>
      <c r="AA33" s="103">
        <v>0</v>
      </c>
      <c r="AB33" s="103">
        <v>0</v>
      </c>
      <c r="AC33" s="103">
        <v>0</v>
      </c>
      <c r="AD33" s="103">
        <f>O33</f>
        <v>288840.53142000001</v>
      </c>
      <c r="AE33" s="103">
        <f>AD33</f>
        <v>288840.53142000001</v>
      </c>
      <c r="AF33" s="103">
        <f>SUM(AM33:AQ43)</f>
        <v>339704.7713219992</v>
      </c>
      <c r="AG33" s="106">
        <v>1.091</v>
      </c>
      <c r="AH33" s="106">
        <v>1.0780000000000001</v>
      </c>
      <c r="AI33" s="106">
        <v>1.0529999999999999</v>
      </c>
      <c r="AJ33" s="106">
        <v>1.044</v>
      </c>
      <c r="AK33" s="106">
        <v>1.044</v>
      </c>
      <c r="AL33" s="106">
        <v>1.044</v>
      </c>
      <c r="AM33" s="103">
        <f>AD33*AG33*AH33</f>
        <v>339704.7713219992</v>
      </c>
      <c r="AN33" s="103">
        <v>0</v>
      </c>
      <c r="AO33" s="103">
        <v>0</v>
      </c>
      <c r="AP33" s="103">
        <v>0</v>
      </c>
      <c r="AQ33" s="103">
        <v>0</v>
      </c>
    </row>
    <row r="34" spans="1:43" ht="67.5" customHeight="1" x14ac:dyDescent="0.3">
      <c r="A34" s="109"/>
      <c r="B34" s="116"/>
      <c r="C34" s="137"/>
      <c r="D34" s="54" t="s">
        <v>90</v>
      </c>
      <c r="E34" s="54" t="s">
        <v>36</v>
      </c>
      <c r="F34" s="54">
        <v>3</v>
      </c>
      <c r="G34" s="58" t="s">
        <v>84</v>
      </c>
      <c r="H34" s="59">
        <v>5248.25</v>
      </c>
      <c r="I34" s="59">
        <f>F34*H34</f>
        <v>15744.75</v>
      </c>
      <c r="J34" s="59" t="s">
        <v>165</v>
      </c>
      <c r="K34" s="60">
        <v>1.44</v>
      </c>
      <c r="L34" s="59">
        <f>I34*K34</f>
        <v>22672.44</v>
      </c>
      <c r="M34" s="104"/>
      <c r="N34" s="104"/>
      <c r="O34" s="104"/>
      <c r="P34" s="104"/>
      <c r="Q34" s="104"/>
      <c r="R34" s="107"/>
      <c r="S34" s="107"/>
      <c r="T34" s="107"/>
      <c r="U34" s="107"/>
      <c r="V34" s="107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7"/>
      <c r="AH34" s="107"/>
      <c r="AI34" s="107"/>
      <c r="AJ34" s="107"/>
      <c r="AK34" s="107"/>
      <c r="AL34" s="107"/>
      <c r="AM34" s="104"/>
      <c r="AN34" s="104"/>
      <c r="AO34" s="104"/>
      <c r="AP34" s="104"/>
      <c r="AQ34" s="104"/>
    </row>
    <row r="35" spans="1:43" ht="60" x14ac:dyDescent="0.3">
      <c r="A35" s="109"/>
      <c r="B35" s="116"/>
      <c r="C35" s="137"/>
      <c r="D35" s="54" t="s">
        <v>176</v>
      </c>
      <c r="E35" s="54" t="s">
        <v>82</v>
      </c>
      <c r="F35" s="54">
        <v>1</v>
      </c>
      <c r="G35" s="58" t="s">
        <v>178</v>
      </c>
      <c r="H35" s="59">
        <v>7787.03</v>
      </c>
      <c r="I35" s="59">
        <f t="shared" ref="I35:I43" si="35">F35*H35</f>
        <v>7787.03</v>
      </c>
      <c r="J35" s="59" t="s">
        <v>177</v>
      </c>
      <c r="K35" s="60">
        <v>1.1499999999999999</v>
      </c>
      <c r="L35" s="59">
        <f t="shared" si="30"/>
        <v>8955.084499999999</v>
      </c>
      <c r="M35" s="104"/>
      <c r="N35" s="104"/>
      <c r="O35" s="104"/>
      <c r="P35" s="104"/>
      <c r="Q35" s="104"/>
      <c r="R35" s="107"/>
      <c r="S35" s="107"/>
      <c r="T35" s="107"/>
      <c r="U35" s="107"/>
      <c r="V35" s="107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7"/>
      <c r="AH35" s="107"/>
      <c r="AI35" s="107"/>
      <c r="AJ35" s="107"/>
      <c r="AK35" s="107"/>
      <c r="AL35" s="107"/>
      <c r="AM35" s="104"/>
      <c r="AN35" s="104"/>
      <c r="AO35" s="104"/>
      <c r="AP35" s="104"/>
      <c r="AQ35" s="104"/>
    </row>
    <row r="36" spans="1:43" ht="88.5" customHeight="1" x14ac:dyDescent="0.3">
      <c r="A36" s="109"/>
      <c r="B36" s="116"/>
      <c r="C36" s="137"/>
      <c r="D36" s="54" t="s">
        <v>162</v>
      </c>
      <c r="E36" s="54" t="s">
        <v>82</v>
      </c>
      <c r="F36" s="54">
        <v>1</v>
      </c>
      <c r="G36" s="58" t="s">
        <v>174</v>
      </c>
      <c r="H36" s="59">
        <v>2409.41</v>
      </c>
      <c r="I36" s="59">
        <f t="shared" ref="I36:I42" si="36">F36*H36</f>
        <v>2409.41</v>
      </c>
      <c r="J36" s="59" t="s">
        <v>165</v>
      </c>
      <c r="K36" s="60">
        <v>1.44</v>
      </c>
      <c r="L36" s="59">
        <f>I36*K36</f>
        <v>3469.5503999999996</v>
      </c>
      <c r="M36" s="104"/>
      <c r="N36" s="104"/>
      <c r="O36" s="104"/>
      <c r="P36" s="104"/>
      <c r="Q36" s="104"/>
      <c r="R36" s="107"/>
      <c r="S36" s="107"/>
      <c r="T36" s="107"/>
      <c r="U36" s="107"/>
      <c r="V36" s="107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7"/>
      <c r="AH36" s="107"/>
      <c r="AI36" s="107"/>
      <c r="AJ36" s="107"/>
      <c r="AK36" s="107"/>
      <c r="AL36" s="107"/>
      <c r="AM36" s="104"/>
      <c r="AN36" s="104"/>
      <c r="AO36" s="104"/>
      <c r="AP36" s="104"/>
      <c r="AQ36" s="104"/>
    </row>
    <row r="37" spans="1:43" ht="60" customHeight="1" x14ac:dyDescent="0.3">
      <c r="A37" s="109"/>
      <c r="B37" s="116"/>
      <c r="C37" s="137"/>
      <c r="D37" s="54" t="s">
        <v>166</v>
      </c>
      <c r="E37" s="54" t="s">
        <v>82</v>
      </c>
      <c r="F37" s="54">
        <v>2</v>
      </c>
      <c r="G37" s="58" t="s">
        <v>167</v>
      </c>
      <c r="H37" s="59">
        <v>2078.36</v>
      </c>
      <c r="I37" s="59">
        <f t="shared" si="36"/>
        <v>4156.72</v>
      </c>
      <c r="J37" s="59" t="s">
        <v>168</v>
      </c>
      <c r="K37" s="60">
        <v>1.53</v>
      </c>
      <c r="L37" s="59">
        <f t="shared" ref="L37" si="37">I37*K37</f>
        <v>6359.7816000000003</v>
      </c>
      <c r="M37" s="104"/>
      <c r="N37" s="104"/>
      <c r="O37" s="104"/>
      <c r="P37" s="104"/>
      <c r="Q37" s="104"/>
      <c r="R37" s="107"/>
      <c r="S37" s="107"/>
      <c r="T37" s="107"/>
      <c r="U37" s="107"/>
      <c r="V37" s="107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7"/>
      <c r="AH37" s="107"/>
      <c r="AI37" s="107"/>
      <c r="AJ37" s="107"/>
      <c r="AK37" s="107"/>
      <c r="AL37" s="107"/>
      <c r="AM37" s="104"/>
      <c r="AN37" s="104"/>
      <c r="AO37" s="104"/>
      <c r="AP37" s="104"/>
      <c r="AQ37" s="104"/>
    </row>
    <row r="38" spans="1:43" ht="60" x14ac:dyDescent="0.3">
      <c r="A38" s="109"/>
      <c r="B38" s="116"/>
      <c r="C38" s="137"/>
      <c r="D38" s="54" t="s">
        <v>172</v>
      </c>
      <c r="E38" s="54" t="s">
        <v>82</v>
      </c>
      <c r="F38" s="54">
        <v>1</v>
      </c>
      <c r="G38" s="58" t="s">
        <v>173</v>
      </c>
      <c r="H38" s="59">
        <v>5649.95</v>
      </c>
      <c r="I38" s="59">
        <f t="shared" si="36"/>
        <v>5649.95</v>
      </c>
      <c r="J38" s="59" t="s">
        <v>168</v>
      </c>
      <c r="K38" s="60">
        <v>1.53</v>
      </c>
      <c r="L38" s="59">
        <f t="shared" si="30"/>
        <v>8644.423499999999</v>
      </c>
      <c r="M38" s="104"/>
      <c r="N38" s="104"/>
      <c r="O38" s="104"/>
      <c r="P38" s="104"/>
      <c r="Q38" s="104"/>
      <c r="R38" s="107"/>
      <c r="S38" s="107"/>
      <c r="T38" s="107"/>
      <c r="U38" s="107"/>
      <c r="V38" s="107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7"/>
      <c r="AH38" s="107"/>
      <c r="AI38" s="107"/>
      <c r="AJ38" s="107"/>
      <c r="AK38" s="107"/>
      <c r="AL38" s="107"/>
      <c r="AM38" s="104"/>
      <c r="AN38" s="104"/>
      <c r="AO38" s="104"/>
      <c r="AP38" s="104"/>
      <c r="AQ38" s="104"/>
    </row>
    <row r="39" spans="1:43" ht="41.25" customHeight="1" x14ac:dyDescent="0.3">
      <c r="A39" s="109"/>
      <c r="B39" s="116"/>
      <c r="C39" s="137"/>
      <c r="D39" s="54" t="s">
        <v>95</v>
      </c>
      <c r="E39" s="54" t="s">
        <v>33</v>
      </c>
      <c r="F39" s="54">
        <v>1.65</v>
      </c>
      <c r="G39" s="58" t="s">
        <v>96</v>
      </c>
      <c r="H39" s="59">
        <v>291.14</v>
      </c>
      <c r="I39" s="59">
        <f t="shared" ref="I39" si="38">F39*H39</f>
        <v>480.38099999999997</v>
      </c>
      <c r="J39" s="59" t="s">
        <v>175</v>
      </c>
      <c r="K39" s="60">
        <v>1.55</v>
      </c>
      <c r="L39" s="59">
        <f>I39*K39</f>
        <v>744.59055000000001</v>
      </c>
      <c r="M39" s="104"/>
      <c r="N39" s="104"/>
      <c r="O39" s="104"/>
      <c r="P39" s="104"/>
      <c r="Q39" s="104"/>
      <c r="R39" s="107"/>
      <c r="S39" s="107"/>
      <c r="T39" s="107"/>
      <c r="U39" s="107"/>
      <c r="V39" s="107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7"/>
      <c r="AH39" s="107"/>
      <c r="AI39" s="107"/>
      <c r="AJ39" s="107"/>
      <c r="AK39" s="107"/>
      <c r="AL39" s="107"/>
      <c r="AM39" s="104"/>
      <c r="AN39" s="104"/>
      <c r="AO39" s="104"/>
      <c r="AP39" s="104"/>
      <c r="AQ39" s="104"/>
    </row>
    <row r="40" spans="1:43" ht="41.25" customHeight="1" x14ac:dyDescent="0.3">
      <c r="A40" s="109"/>
      <c r="B40" s="116"/>
      <c r="C40" s="137"/>
      <c r="D40" s="54" t="s">
        <v>97</v>
      </c>
      <c r="E40" s="54" t="s">
        <v>33</v>
      </c>
      <c r="F40" s="54">
        <v>1.7</v>
      </c>
      <c r="G40" s="58" t="s">
        <v>98</v>
      </c>
      <c r="H40" s="59">
        <v>324.64</v>
      </c>
      <c r="I40" s="59">
        <f t="shared" si="36"/>
        <v>551.88799999999992</v>
      </c>
      <c r="J40" s="59" t="s">
        <v>175</v>
      </c>
      <c r="K40" s="60">
        <v>1.55</v>
      </c>
      <c r="L40" s="59">
        <f>I40*K40</f>
        <v>855.42639999999994</v>
      </c>
      <c r="M40" s="104"/>
      <c r="N40" s="104"/>
      <c r="O40" s="104"/>
      <c r="P40" s="104"/>
      <c r="Q40" s="104"/>
      <c r="R40" s="107"/>
      <c r="S40" s="107"/>
      <c r="T40" s="107"/>
      <c r="U40" s="107"/>
      <c r="V40" s="107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7"/>
      <c r="AH40" s="107"/>
      <c r="AI40" s="107"/>
      <c r="AJ40" s="107"/>
      <c r="AK40" s="107"/>
      <c r="AL40" s="107"/>
      <c r="AM40" s="104"/>
      <c r="AN40" s="104"/>
      <c r="AO40" s="104"/>
      <c r="AP40" s="104"/>
      <c r="AQ40" s="104"/>
    </row>
    <row r="41" spans="1:43" ht="41.25" customHeight="1" x14ac:dyDescent="0.3">
      <c r="A41" s="109"/>
      <c r="B41" s="116"/>
      <c r="C41" s="137"/>
      <c r="D41" s="54" t="s">
        <v>92</v>
      </c>
      <c r="E41" s="54" t="s">
        <v>82</v>
      </c>
      <c r="F41" s="54">
        <v>21</v>
      </c>
      <c r="G41" s="58" t="s">
        <v>37</v>
      </c>
      <c r="H41" s="59">
        <v>330.05</v>
      </c>
      <c r="I41" s="59">
        <f t="shared" ref="I41" si="39">F41*H41</f>
        <v>6931.05</v>
      </c>
      <c r="J41" s="59" t="s">
        <v>171</v>
      </c>
      <c r="K41" s="60">
        <v>1.55</v>
      </c>
      <c r="L41" s="59">
        <f t="shared" si="30"/>
        <v>10743.127500000001</v>
      </c>
      <c r="M41" s="104"/>
      <c r="N41" s="104"/>
      <c r="O41" s="104"/>
      <c r="P41" s="104"/>
      <c r="Q41" s="104"/>
      <c r="R41" s="107"/>
      <c r="S41" s="107"/>
      <c r="T41" s="107"/>
      <c r="U41" s="107"/>
      <c r="V41" s="107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7"/>
      <c r="AH41" s="107"/>
      <c r="AI41" s="107"/>
      <c r="AJ41" s="107"/>
      <c r="AK41" s="107"/>
      <c r="AL41" s="107"/>
      <c r="AM41" s="104"/>
      <c r="AN41" s="104"/>
      <c r="AO41" s="104"/>
      <c r="AP41" s="104"/>
      <c r="AQ41" s="104"/>
    </row>
    <row r="42" spans="1:43" ht="26.25" customHeight="1" x14ac:dyDescent="0.3">
      <c r="A42" s="109"/>
      <c r="B42" s="116"/>
      <c r="C42" s="137"/>
      <c r="D42" s="54" t="s">
        <v>163</v>
      </c>
      <c r="E42" s="54" t="s">
        <v>82</v>
      </c>
      <c r="F42" s="54">
        <v>1</v>
      </c>
      <c r="G42" s="58" t="s">
        <v>91</v>
      </c>
      <c r="H42" s="59">
        <v>2100.08</v>
      </c>
      <c r="I42" s="59">
        <f t="shared" si="36"/>
        <v>2100.08</v>
      </c>
      <c r="J42" s="59" t="s">
        <v>165</v>
      </c>
      <c r="K42" s="60">
        <v>1.53</v>
      </c>
      <c r="L42" s="59">
        <f t="shared" ref="L42" si="40">I42*K42</f>
        <v>3213.1223999999997</v>
      </c>
      <c r="M42" s="104"/>
      <c r="N42" s="104"/>
      <c r="O42" s="104"/>
      <c r="P42" s="104"/>
      <c r="Q42" s="104"/>
      <c r="R42" s="107"/>
      <c r="S42" s="107"/>
      <c r="T42" s="107"/>
      <c r="U42" s="107"/>
      <c r="V42" s="107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7"/>
      <c r="AH42" s="107"/>
      <c r="AI42" s="107"/>
      <c r="AJ42" s="107"/>
      <c r="AK42" s="107"/>
      <c r="AL42" s="107"/>
      <c r="AM42" s="104"/>
      <c r="AN42" s="104"/>
      <c r="AO42" s="104"/>
      <c r="AP42" s="104"/>
      <c r="AQ42" s="104"/>
    </row>
    <row r="43" spans="1:43" ht="26.25" customHeight="1" x14ac:dyDescent="0.3">
      <c r="A43" s="109"/>
      <c r="B43" s="116"/>
      <c r="C43" s="137"/>
      <c r="D43" s="54" t="s">
        <v>85</v>
      </c>
      <c r="E43" s="54" t="s">
        <v>86</v>
      </c>
      <c r="F43" s="54">
        <v>1200</v>
      </c>
      <c r="G43" s="58" t="s">
        <v>87</v>
      </c>
      <c r="H43" s="60">
        <v>6.26</v>
      </c>
      <c r="I43" s="59">
        <f t="shared" si="35"/>
        <v>7512</v>
      </c>
      <c r="J43" s="59" t="s">
        <v>35</v>
      </c>
      <c r="K43" s="60" t="s">
        <v>35</v>
      </c>
      <c r="L43" s="59">
        <f>I43</f>
        <v>7512</v>
      </c>
      <c r="M43" s="104"/>
      <c r="N43" s="104"/>
      <c r="O43" s="104"/>
      <c r="P43" s="105"/>
      <c r="Q43" s="105"/>
      <c r="R43" s="107"/>
      <c r="S43" s="107"/>
      <c r="T43" s="107"/>
      <c r="U43" s="107"/>
      <c r="V43" s="107"/>
      <c r="W43" s="104"/>
      <c r="X43" s="104"/>
      <c r="Y43" s="104"/>
      <c r="Z43" s="104"/>
      <c r="AA43" s="104"/>
      <c r="AB43" s="104"/>
      <c r="AC43" s="104"/>
      <c r="AD43" s="104"/>
      <c r="AE43" s="105"/>
      <c r="AF43" s="105"/>
      <c r="AG43" s="107"/>
      <c r="AH43" s="107"/>
      <c r="AI43" s="107"/>
      <c r="AJ43" s="107"/>
      <c r="AK43" s="107"/>
      <c r="AL43" s="107"/>
      <c r="AM43" s="104"/>
      <c r="AN43" s="104"/>
      <c r="AO43" s="104"/>
      <c r="AP43" s="104"/>
      <c r="AQ43" s="104"/>
    </row>
    <row r="44" spans="1:43" ht="80.25" customHeight="1" x14ac:dyDescent="0.3">
      <c r="A44" s="109">
        <v>13</v>
      </c>
      <c r="B44" s="116" t="s">
        <v>268</v>
      </c>
      <c r="C44" s="137" t="s">
        <v>60</v>
      </c>
      <c r="D44" s="54" t="s">
        <v>78</v>
      </c>
      <c r="E44" s="54" t="s">
        <v>36</v>
      </c>
      <c r="F44" s="54">
        <v>5</v>
      </c>
      <c r="G44" s="32" t="s">
        <v>79</v>
      </c>
      <c r="H44" s="59">
        <v>27469.919999999998</v>
      </c>
      <c r="I44" s="59">
        <f t="shared" ref="I44:I64" si="41">F44*H44</f>
        <v>137349.59999999998</v>
      </c>
      <c r="J44" s="59" t="s">
        <v>165</v>
      </c>
      <c r="K44" s="60">
        <v>1.44</v>
      </c>
      <c r="L44" s="59">
        <f>I44*K44</f>
        <v>197783.42399999997</v>
      </c>
      <c r="M44" s="103">
        <f>SUM(L44:L53)</f>
        <v>387115.25739999994</v>
      </c>
      <c r="N44" s="103">
        <f>M44*0.2</f>
        <v>77423.051479999995</v>
      </c>
      <c r="O44" s="103">
        <f>M44+N44</f>
        <v>464538.30887999991</v>
      </c>
      <c r="P44" s="103">
        <f>O44</f>
        <v>464538.30887999991</v>
      </c>
      <c r="Q44" s="103">
        <f>SUM(W44:AC53)</f>
        <v>540322.05309675634</v>
      </c>
      <c r="R44" s="106">
        <v>1.048</v>
      </c>
      <c r="S44" s="106">
        <v>1.046</v>
      </c>
      <c r="T44" s="106">
        <v>1.046</v>
      </c>
      <c r="U44" s="106">
        <v>1.046</v>
      </c>
      <c r="V44" s="106">
        <v>1.046</v>
      </c>
      <c r="W44" s="103">
        <v>0</v>
      </c>
      <c r="X44" s="103">
        <v>0</v>
      </c>
      <c r="Y44" s="103">
        <f>L53*1.2*R44</f>
        <v>12905.076191999999</v>
      </c>
      <c r="Z44" s="103">
        <v>0</v>
      </c>
      <c r="AA44" s="103">
        <f>SUM(L44:L50)*1.2*R44*S44*T44</f>
        <v>325461.46685213433</v>
      </c>
      <c r="AB44" s="103">
        <f>(L51+L52)*1.2*R44*S44*T44*U44</f>
        <v>201955.510052622</v>
      </c>
      <c r="AC44" s="103">
        <v>0</v>
      </c>
      <c r="AD44" s="103">
        <f>O44</f>
        <v>464538.30887999991</v>
      </c>
      <c r="AE44" s="103">
        <f>AD44</f>
        <v>464538.30887999991</v>
      </c>
      <c r="AF44" s="103">
        <f>SUM(AM44:AQ53)</f>
        <v>609519.96855339664</v>
      </c>
      <c r="AG44" s="106">
        <v>1.091</v>
      </c>
      <c r="AH44" s="106">
        <v>1.0780000000000001</v>
      </c>
      <c r="AI44" s="106">
        <v>1.0529999999999999</v>
      </c>
      <c r="AJ44" s="106">
        <v>1.044</v>
      </c>
      <c r="AK44" s="106">
        <v>1.044</v>
      </c>
      <c r="AL44" s="106">
        <v>1.044</v>
      </c>
      <c r="AM44" s="103">
        <f>AC53*1.2*AH44</f>
        <v>0</v>
      </c>
      <c r="AN44" s="103">
        <f>L53*1.2*AG44*AH44*AI44</f>
        <v>15250.046676640774</v>
      </c>
      <c r="AO44" s="103">
        <f>SUM(L44:L50)*1.2*AG44*AH44*AI44*AJ44</f>
        <v>366984.14959228371</v>
      </c>
      <c r="AP44" s="103">
        <f>SUM(L51:L52)*1.2*AG44*AH44*AI44*AJ44*AK44</f>
        <v>227285.77228447222</v>
      </c>
      <c r="AQ44" s="103">
        <v>0</v>
      </c>
    </row>
    <row r="45" spans="1:43" ht="69.75" customHeight="1" x14ac:dyDescent="0.3">
      <c r="A45" s="109"/>
      <c r="B45" s="116"/>
      <c r="C45" s="137"/>
      <c r="D45" s="54" t="s">
        <v>176</v>
      </c>
      <c r="E45" s="54" t="s">
        <v>82</v>
      </c>
      <c r="F45" s="54">
        <v>1</v>
      </c>
      <c r="G45" s="58" t="s">
        <v>178</v>
      </c>
      <c r="H45" s="59">
        <v>7787.03</v>
      </c>
      <c r="I45" s="59">
        <f t="shared" si="41"/>
        <v>7787.03</v>
      </c>
      <c r="J45" s="59" t="s">
        <v>177</v>
      </c>
      <c r="K45" s="60">
        <v>1.1499999999999999</v>
      </c>
      <c r="L45" s="59">
        <f t="shared" ref="L45" si="42">I45*K45</f>
        <v>8955.084499999999</v>
      </c>
      <c r="M45" s="104"/>
      <c r="N45" s="104"/>
      <c r="O45" s="104"/>
      <c r="P45" s="104"/>
      <c r="Q45" s="104"/>
      <c r="R45" s="107"/>
      <c r="S45" s="107"/>
      <c r="T45" s="107"/>
      <c r="U45" s="107"/>
      <c r="V45" s="107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7"/>
      <c r="AH45" s="107"/>
      <c r="AI45" s="107"/>
      <c r="AJ45" s="107"/>
      <c r="AK45" s="107"/>
      <c r="AL45" s="107"/>
      <c r="AM45" s="104"/>
      <c r="AN45" s="104"/>
      <c r="AO45" s="104"/>
      <c r="AP45" s="104"/>
      <c r="AQ45" s="104"/>
    </row>
    <row r="46" spans="1:43" ht="62.25" customHeight="1" x14ac:dyDescent="0.3">
      <c r="A46" s="109"/>
      <c r="B46" s="116"/>
      <c r="C46" s="137"/>
      <c r="D46" s="54" t="s">
        <v>162</v>
      </c>
      <c r="E46" s="54" t="s">
        <v>82</v>
      </c>
      <c r="F46" s="54">
        <v>1</v>
      </c>
      <c r="G46" s="58" t="s">
        <v>174</v>
      </c>
      <c r="H46" s="59">
        <v>2409.41</v>
      </c>
      <c r="I46" s="59">
        <f t="shared" si="41"/>
        <v>2409.41</v>
      </c>
      <c r="J46" s="59" t="s">
        <v>165</v>
      </c>
      <c r="K46" s="60">
        <v>1.44</v>
      </c>
      <c r="L46" s="59">
        <f>I46*K46</f>
        <v>3469.5503999999996</v>
      </c>
      <c r="M46" s="104"/>
      <c r="N46" s="104"/>
      <c r="O46" s="104"/>
      <c r="P46" s="104"/>
      <c r="Q46" s="104"/>
      <c r="R46" s="107"/>
      <c r="S46" s="107"/>
      <c r="T46" s="107"/>
      <c r="U46" s="107"/>
      <c r="V46" s="107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7"/>
      <c r="AH46" s="107"/>
      <c r="AI46" s="107"/>
      <c r="AJ46" s="107"/>
      <c r="AK46" s="107"/>
      <c r="AL46" s="107"/>
      <c r="AM46" s="104"/>
      <c r="AN46" s="104"/>
      <c r="AO46" s="104"/>
      <c r="AP46" s="104"/>
      <c r="AQ46" s="104"/>
    </row>
    <row r="47" spans="1:43" ht="74.25" customHeight="1" x14ac:dyDescent="0.3">
      <c r="A47" s="109"/>
      <c r="B47" s="116"/>
      <c r="C47" s="137"/>
      <c r="D47" s="54" t="s">
        <v>166</v>
      </c>
      <c r="E47" s="54" t="s">
        <v>82</v>
      </c>
      <c r="F47" s="54">
        <v>2</v>
      </c>
      <c r="G47" s="58" t="s">
        <v>167</v>
      </c>
      <c r="H47" s="59">
        <v>2078.36</v>
      </c>
      <c r="I47" s="59">
        <f t="shared" si="41"/>
        <v>4156.72</v>
      </c>
      <c r="J47" s="59" t="s">
        <v>168</v>
      </c>
      <c r="K47" s="60">
        <v>1.53</v>
      </c>
      <c r="L47" s="59">
        <f t="shared" ref="L47:L51" si="43">I47*K47</f>
        <v>6359.7816000000003</v>
      </c>
      <c r="M47" s="104"/>
      <c r="N47" s="104"/>
      <c r="O47" s="104"/>
      <c r="P47" s="104"/>
      <c r="Q47" s="104"/>
      <c r="R47" s="107"/>
      <c r="S47" s="107"/>
      <c r="T47" s="107"/>
      <c r="U47" s="107"/>
      <c r="V47" s="107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7"/>
      <c r="AH47" s="107"/>
      <c r="AI47" s="107"/>
      <c r="AJ47" s="107"/>
      <c r="AK47" s="107"/>
      <c r="AL47" s="107"/>
      <c r="AM47" s="104"/>
      <c r="AN47" s="104"/>
      <c r="AO47" s="104"/>
      <c r="AP47" s="104"/>
      <c r="AQ47" s="104"/>
    </row>
    <row r="48" spans="1:43" ht="66.75" customHeight="1" x14ac:dyDescent="0.3">
      <c r="A48" s="109"/>
      <c r="B48" s="116"/>
      <c r="C48" s="137"/>
      <c r="D48" s="54" t="s">
        <v>172</v>
      </c>
      <c r="E48" s="54" t="s">
        <v>82</v>
      </c>
      <c r="F48" s="54">
        <v>1</v>
      </c>
      <c r="G48" s="58" t="s">
        <v>173</v>
      </c>
      <c r="H48" s="59">
        <v>5649.95</v>
      </c>
      <c r="I48" s="59">
        <f t="shared" si="41"/>
        <v>5649.95</v>
      </c>
      <c r="J48" s="59" t="s">
        <v>168</v>
      </c>
      <c r="K48" s="60">
        <v>1.53</v>
      </c>
      <c r="L48" s="59">
        <f t="shared" si="43"/>
        <v>8644.423499999999</v>
      </c>
      <c r="M48" s="104"/>
      <c r="N48" s="104"/>
      <c r="O48" s="104"/>
      <c r="P48" s="104"/>
      <c r="Q48" s="104"/>
      <c r="R48" s="107"/>
      <c r="S48" s="107"/>
      <c r="T48" s="107"/>
      <c r="U48" s="107"/>
      <c r="V48" s="107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7"/>
      <c r="AH48" s="107"/>
      <c r="AI48" s="107"/>
      <c r="AJ48" s="107"/>
      <c r="AK48" s="107"/>
      <c r="AL48" s="107"/>
      <c r="AM48" s="104"/>
      <c r="AN48" s="104"/>
      <c r="AO48" s="104"/>
      <c r="AP48" s="104"/>
      <c r="AQ48" s="104"/>
    </row>
    <row r="49" spans="1:43" ht="48.75" customHeight="1" x14ac:dyDescent="0.3">
      <c r="A49" s="109"/>
      <c r="B49" s="116"/>
      <c r="C49" s="137"/>
      <c r="D49" s="54" t="s">
        <v>101</v>
      </c>
      <c r="E49" s="54" t="s">
        <v>82</v>
      </c>
      <c r="F49" s="54">
        <v>5</v>
      </c>
      <c r="G49" s="58" t="s">
        <v>100</v>
      </c>
      <c r="H49" s="59">
        <v>1046.28</v>
      </c>
      <c r="I49" s="59">
        <f t="shared" si="41"/>
        <v>5231.3999999999996</v>
      </c>
      <c r="J49" s="59" t="s">
        <v>171</v>
      </c>
      <c r="K49" s="60">
        <v>1.55</v>
      </c>
      <c r="L49" s="59">
        <f t="shared" si="43"/>
        <v>8108.67</v>
      </c>
      <c r="M49" s="104"/>
      <c r="N49" s="104"/>
      <c r="O49" s="104"/>
      <c r="P49" s="104"/>
      <c r="Q49" s="104"/>
      <c r="R49" s="107"/>
      <c r="S49" s="107"/>
      <c r="T49" s="107"/>
      <c r="U49" s="107"/>
      <c r="V49" s="107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7"/>
      <c r="AH49" s="107"/>
      <c r="AI49" s="107"/>
      <c r="AJ49" s="107"/>
      <c r="AK49" s="107"/>
      <c r="AL49" s="107"/>
      <c r="AM49" s="104"/>
      <c r="AN49" s="104"/>
      <c r="AO49" s="104"/>
      <c r="AP49" s="104"/>
      <c r="AQ49" s="104"/>
    </row>
    <row r="50" spans="1:43" ht="44.25" customHeight="1" x14ac:dyDescent="0.3">
      <c r="A50" s="109"/>
      <c r="B50" s="116"/>
      <c r="C50" s="137"/>
      <c r="D50" s="54" t="s">
        <v>163</v>
      </c>
      <c r="E50" s="54" t="s">
        <v>82</v>
      </c>
      <c r="F50" s="54">
        <v>1</v>
      </c>
      <c r="G50" s="58" t="s">
        <v>91</v>
      </c>
      <c r="H50" s="59">
        <v>2100.08</v>
      </c>
      <c r="I50" s="59">
        <f t="shared" si="41"/>
        <v>2100.08</v>
      </c>
      <c r="J50" s="59" t="s">
        <v>165</v>
      </c>
      <c r="K50" s="60">
        <v>1.53</v>
      </c>
      <c r="L50" s="59">
        <f t="shared" si="43"/>
        <v>3213.1223999999997</v>
      </c>
      <c r="M50" s="104"/>
      <c r="N50" s="104"/>
      <c r="O50" s="104"/>
      <c r="P50" s="104"/>
      <c r="Q50" s="104"/>
      <c r="R50" s="107"/>
      <c r="S50" s="107"/>
      <c r="T50" s="107"/>
      <c r="U50" s="107"/>
      <c r="V50" s="107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7"/>
      <c r="AH50" s="107"/>
      <c r="AI50" s="107"/>
      <c r="AJ50" s="107"/>
      <c r="AK50" s="107"/>
      <c r="AL50" s="107"/>
      <c r="AM50" s="104"/>
      <c r="AN50" s="104"/>
      <c r="AO50" s="104"/>
      <c r="AP50" s="104"/>
      <c r="AQ50" s="104"/>
    </row>
    <row r="51" spans="1:43" ht="69.75" customHeight="1" x14ac:dyDescent="0.3">
      <c r="A51" s="109"/>
      <c r="B51" s="116"/>
      <c r="C51" s="137"/>
      <c r="D51" s="54" t="s">
        <v>81</v>
      </c>
      <c r="E51" s="54" t="s">
        <v>36</v>
      </c>
      <c r="F51" s="54">
        <v>18</v>
      </c>
      <c r="G51" s="58" t="s">
        <v>80</v>
      </c>
      <c r="H51" s="59">
        <v>5058.3</v>
      </c>
      <c r="I51" s="59">
        <f>F51*H51</f>
        <v>91049.400000000009</v>
      </c>
      <c r="J51" s="59" t="s">
        <v>165</v>
      </c>
      <c r="K51" s="60">
        <v>1.44</v>
      </c>
      <c r="L51" s="59">
        <f t="shared" si="43"/>
        <v>131111.136</v>
      </c>
      <c r="M51" s="104"/>
      <c r="N51" s="104"/>
      <c r="O51" s="104"/>
      <c r="P51" s="104"/>
      <c r="Q51" s="104"/>
      <c r="R51" s="107"/>
      <c r="S51" s="107"/>
      <c r="T51" s="107"/>
      <c r="U51" s="107"/>
      <c r="V51" s="107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7"/>
      <c r="AH51" s="107"/>
      <c r="AI51" s="107"/>
      <c r="AJ51" s="107"/>
      <c r="AK51" s="107"/>
      <c r="AL51" s="107"/>
      <c r="AM51" s="104"/>
      <c r="AN51" s="104"/>
      <c r="AO51" s="104"/>
      <c r="AP51" s="104"/>
      <c r="AQ51" s="104"/>
    </row>
    <row r="52" spans="1:43" ht="40.5" customHeight="1" x14ac:dyDescent="0.3">
      <c r="A52" s="109"/>
      <c r="B52" s="116"/>
      <c r="C52" s="137"/>
      <c r="D52" s="54" t="s">
        <v>92</v>
      </c>
      <c r="E52" s="54" t="s">
        <v>82</v>
      </c>
      <c r="F52" s="54">
        <v>18</v>
      </c>
      <c r="G52" s="58" t="s">
        <v>37</v>
      </c>
      <c r="H52" s="59">
        <v>330.05</v>
      </c>
      <c r="I52" s="59">
        <f t="shared" si="41"/>
        <v>5940.9000000000005</v>
      </c>
      <c r="J52" s="59" t="s">
        <v>171</v>
      </c>
      <c r="K52" s="60">
        <v>1.55</v>
      </c>
      <c r="L52" s="59">
        <f t="shared" ref="L52" si="44">I52*K52</f>
        <v>9208.3950000000004</v>
      </c>
      <c r="M52" s="104"/>
      <c r="N52" s="104"/>
      <c r="O52" s="104"/>
      <c r="P52" s="104"/>
      <c r="Q52" s="104"/>
      <c r="R52" s="107"/>
      <c r="S52" s="107"/>
      <c r="T52" s="107"/>
      <c r="U52" s="107"/>
      <c r="V52" s="107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7"/>
      <c r="AH52" s="107"/>
      <c r="AI52" s="107"/>
      <c r="AJ52" s="107"/>
      <c r="AK52" s="107"/>
      <c r="AL52" s="107"/>
      <c r="AM52" s="104"/>
      <c r="AN52" s="104"/>
      <c r="AO52" s="104"/>
      <c r="AP52" s="104"/>
      <c r="AQ52" s="104"/>
    </row>
    <row r="53" spans="1:43" ht="44.25" customHeight="1" x14ac:dyDescent="0.3">
      <c r="A53" s="109"/>
      <c r="B53" s="116"/>
      <c r="C53" s="137"/>
      <c r="D53" s="54" t="s">
        <v>159</v>
      </c>
      <c r="E53" s="54" t="s">
        <v>38</v>
      </c>
      <c r="F53" s="54">
        <v>1</v>
      </c>
      <c r="G53" s="58" t="s">
        <v>161</v>
      </c>
      <c r="H53" s="59">
        <v>10261.67</v>
      </c>
      <c r="I53" s="59">
        <f t="shared" si="41"/>
        <v>10261.67</v>
      </c>
      <c r="J53" s="59" t="s">
        <v>35</v>
      </c>
      <c r="K53" s="59" t="s">
        <v>35</v>
      </c>
      <c r="L53" s="59">
        <f>I53</f>
        <v>10261.67</v>
      </c>
      <c r="M53" s="105"/>
      <c r="N53" s="105"/>
      <c r="O53" s="105"/>
      <c r="P53" s="105"/>
      <c r="Q53" s="105"/>
      <c r="R53" s="108"/>
      <c r="S53" s="108"/>
      <c r="T53" s="108"/>
      <c r="U53" s="108"/>
      <c r="V53" s="108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8"/>
      <c r="AH53" s="108"/>
      <c r="AI53" s="108"/>
      <c r="AJ53" s="108"/>
      <c r="AK53" s="108"/>
      <c r="AL53" s="108"/>
      <c r="AM53" s="105"/>
      <c r="AN53" s="105"/>
      <c r="AO53" s="105"/>
      <c r="AP53" s="105"/>
      <c r="AQ53" s="105"/>
    </row>
    <row r="54" spans="1:43" ht="70.5" customHeight="1" x14ac:dyDescent="0.3">
      <c r="A54" s="109">
        <v>14</v>
      </c>
      <c r="B54" s="116" t="s">
        <v>65</v>
      </c>
      <c r="C54" s="138" t="s">
        <v>60</v>
      </c>
      <c r="D54" s="54" t="s">
        <v>78</v>
      </c>
      <c r="E54" s="54" t="s">
        <v>36</v>
      </c>
      <c r="F54" s="54">
        <v>3</v>
      </c>
      <c r="G54" s="32" t="s">
        <v>79</v>
      </c>
      <c r="H54" s="59">
        <v>27469.919999999998</v>
      </c>
      <c r="I54" s="59">
        <f t="shared" ref="I54" si="45">F54*H54</f>
        <v>82409.759999999995</v>
      </c>
      <c r="J54" s="59" t="s">
        <v>165</v>
      </c>
      <c r="K54" s="60">
        <v>1.44</v>
      </c>
      <c r="L54" s="59">
        <f>I54*K54</f>
        <v>118670.05439999999</v>
      </c>
      <c r="M54" s="103">
        <f>SUM(L54:L56)</f>
        <v>150783.58040000001</v>
      </c>
      <c r="N54" s="103">
        <f>M54*0.2</f>
        <v>30156.716080000002</v>
      </c>
      <c r="O54" s="103">
        <f>M54+N54</f>
        <v>180940.29648000002</v>
      </c>
      <c r="P54" s="103">
        <f>O54</f>
        <v>180940.29648000002</v>
      </c>
      <c r="Q54" s="103">
        <f>SUM(W54:AC56)</f>
        <v>206851.27710178596</v>
      </c>
      <c r="R54" s="106">
        <v>1.048</v>
      </c>
      <c r="S54" s="106">
        <v>1.046</v>
      </c>
      <c r="T54" s="106">
        <v>1.046</v>
      </c>
      <c r="U54" s="106">
        <v>1.046</v>
      </c>
      <c r="V54" s="106">
        <v>1.046</v>
      </c>
      <c r="W54" s="103">
        <v>0</v>
      </c>
      <c r="X54" s="103">
        <v>0</v>
      </c>
      <c r="Y54" s="103">
        <v>0</v>
      </c>
      <c r="Z54" s="103">
        <f>L56*R54*S54*1.2</f>
        <v>13498.709696832</v>
      </c>
      <c r="AA54" s="103">
        <f>SUM(L54:L55)*1.2*R54*S54*T54</f>
        <v>193352.56740495397</v>
      </c>
      <c r="AB54" s="103">
        <v>0</v>
      </c>
      <c r="AC54" s="103">
        <v>0</v>
      </c>
      <c r="AD54" s="103">
        <f>O54</f>
        <v>180940.29648000002</v>
      </c>
      <c r="AE54" s="103">
        <f>AD54</f>
        <v>180940.29648000002</v>
      </c>
      <c r="AF54" s="103">
        <f>SUM(AM54:AQ56)</f>
        <v>233270.71808481557</v>
      </c>
      <c r="AG54" s="106">
        <v>1.091</v>
      </c>
      <c r="AH54" s="106">
        <v>1.0780000000000001</v>
      </c>
      <c r="AI54" s="106">
        <v>1.0529999999999999</v>
      </c>
      <c r="AJ54" s="106">
        <v>1.044</v>
      </c>
      <c r="AK54" s="106">
        <v>1.044</v>
      </c>
      <c r="AL54" s="106">
        <v>1.044</v>
      </c>
      <c r="AM54" s="103">
        <v>0</v>
      </c>
      <c r="AN54" s="103">
        <f>L56*1.2*AG54*AH54*AI54</f>
        <v>15250.046676640774</v>
      </c>
      <c r="AO54" s="103">
        <f>SUM(L54:L55)*1.2*AG54*AH54*AI54*AJ54</f>
        <v>218020.67140817479</v>
      </c>
      <c r="AP54" s="103">
        <v>0</v>
      </c>
      <c r="AQ54" s="103">
        <v>0</v>
      </c>
    </row>
    <row r="55" spans="1:43" ht="66.75" customHeight="1" x14ac:dyDescent="0.3">
      <c r="A55" s="109"/>
      <c r="B55" s="116"/>
      <c r="C55" s="138"/>
      <c r="D55" s="54" t="s">
        <v>81</v>
      </c>
      <c r="E55" s="54" t="s">
        <v>36</v>
      </c>
      <c r="F55" s="54">
        <v>3</v>
      </c>
      <c r="G55" s="58" t="s">
        <v>80</v>
      </c>
      <c r="H55" s="59">
        <v>5058.3</v>
      </c>
      <c r="I55" s="59">
        <f>F55*H55</f>
        <v>15174.900000000001</v>
      </c>
      <c r="J55" s="59" t="s">
        <v>165</v>
      </c>
      <c r="K55" s="60">
        <v>1.44</v>
      </c>
      <c r="L55" s="59">
        <f t="shared" ref="L55" si="46">I55*K55</f>
        <v>21851.856</v>
      </c>
      <c r="M55" s="104"/>
      <c r="N55" s="104"/>
      <c r="O55" s="104"/>
      <c r="P55" s="104"/>
      <c r="Q55" s="104"/>
      <c r="R55" s="107"/>
      <c r="S55" s="107"/>
      <c r="T55" s="107"/>
      <c r="U55" s="107"/>
      <c r="V55" s="107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7"/>
      <c r="AH55" s="107"/>
      <c r="AI55" s="107"/>
      <c r="AJ55" s="107"/>
      <c r="AK55" s="107"/>
      <c r="AL55" s="107"/>
      <c r="AM55" s="104"/>
      <c r="AN55" s="104"/>
      <c r="AO55" s="104"/>
      <c r="AP55" s="104"/>
      <c r="AQ55" s="104"/>
    </row>
    <row r="56" spans="1:43" ht="44.25" customHeight="1" x14ac:dyDescent="0.3">
      <c r="A56" s="109"/>
      <c r="B56" s="116"/>
      <c r="C56" s="138"/>
      <c r="D56" s="54" t="s">
        <v>159</v>
      </c>
      <c r="E56" s="54" t="s">
        <v>38</v>
      </c>
      <c r="F56" s="54">
        <v>1</v>
      </c>
      <c r="G56" s="58" t="s">
        <v>161</v>
      </c>
      <c r="H56" s="59">
        <v>10261.67</v>
      </c>
      <c r="I56" s="59">
        <f t="shared" ref="I56:I57" si="47">F56*H56</f>
        <v>10261.67</v>
      </c>
      <c r="J56" s="59" t="s">
        <v>35</v>
      </c>
      <c r="K56" s="59" t="s">
        <v>35</v>
      </c>
      <c r="L56" s="59">
        <f>I56</f>
        <v>10261.67</v>
      </c>
      <c r="M56" s="105"/>
      <c r="N56" s="105"/>
      <c r="O56" s="105"/>
      <c r="P56" s="105"/>
      <c r="Q56" s="105"/>
      <c r="R56" s="108"/>
      <c r="S56" s="108"/>
      <c r="T56" s="108"/>
      <c r="U56" s="108"/>
      <c r="V56" s="108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8"/>
      <c r="AH56" s="108"/>
      <c r="AI56" s="108"/>
      <c r="AJ56" s="108"/>
      <c r="AK56" s="108"/>
      <c r="AL56" s="108"/>
      <c r="AM56" s="105"/>
      <c r="AN56" s="105"/>
      <c r="AO56" s="105"/>
      <c r="AP56" s="105"/>
      <c r="AQ56" s="105"/>
    </row>
    <row r="57" spans="1:43" ht="71.25" customHeight="1" x14ac:dyDescent="0.3">
      <c r="A57" s="109">
        <v>15</v>
      </c>
      <c r="B57" s="116" t="s">
        <v>66</v>
      </c>
      <c r="C57" s="138" t="s">
        <v>62</v>
      </c>
      <c r="D57" s="54" t="s">
        <v>166</v>
      </c>
      <c r="E57" s="54" t="s">
        <v>82</v>
      </c>
      <c r="F57" s="54">
        <v>2</v>
      </c>
      <c r="G57" s="58" t="s">
        <v>167</v>
      </c>
      <c r="H57" s="59">
        <v>2078.36</v>
      </c>
      <c r="I57" s="59">
        <f t="shared" si="47"/>
        <v>4156.72</v>
      </c>
      <c r="J57" s="59" t="s">
        <v>168</v>
      </c>
      <c r="K57" s="60">
        <v>1.53</v>
      </c>
      <c r="L57" s="59">
        <f t="shared" ref="L57" si="48">I57*K57</f>
        <v>6359.7816000000003</v>
      </c>
      <c r="M57" s="103">
        <f>SUM(L57:L63)</f>
        <v>43882.025900000001</v>
      </c>
      <c r="N57" s="103">
        <f>M57*0.2</f>
        <v>8776.4051799999997</v>
      </c>
      <c r="O57" s="103">
        <f>M57+N57</f>
        <v>52658.431080000002</v>
      </c>
      <c r="P57" s="103">
        <f>O57</f>
        <v>52658.431080000002</v>
      </c>
      <c r="Q57" s="103">
        <f>SUM(W57:AC63)</f>
        <v>59981.699078078374</v>
      </c>
      <c r="R57" s="106">
        <v>1.048</v>
      </c>
      <c r="S57" s="106">
        <v>1.046</v>
      </c>
      <c r="T57" s="106">
        <v>1.046</v>
      </c>
      <c r="U57" s="106">
        <v>1.046</v>
      </c>
      <c r="V57" s="106">
        <v>1.046</v>
      </c>
      <c r="W57" s="103">
        <v>0</v>
      </c>
      <c r="X57" s="103">
        <v>0</v>
      </c>
      <c r="Y57" s="103">
        <v>0</v>
      </c>
      <c r="Z57" s="103">
        <f>L63*R57*S57*1.2</f>
        <v>8657.0790535679989</v>
      </c>
      <c r="AA57" s="103">
        <f>SUM(L57:L62)*1.2*R57*S57*T57</f>
        <v>51324.620024510376</v>
      </c>
      <c r="AB57" s="103">
        <v>0</v>
      </c>
      <c r="AC57" s="103">
        <v>0</v>
      </c>
      <c r="AD57" s="103">
        <f>O57</f>
        <v>52658.431080000002</v>
      </c>
      <c r="AE57" s="103">
        <f>AD57</f>
        <v>52658.431080000002</v>
      </c>
      <c r="AF57" s="103">
        <f>SUM(AM57:AQ63)</f>
        <v>67652.92145889558</v>
      </c>
      <c r="AG57" s="106">
        <v>1.091</v>
      </c>
      <c r="AH57" s="106">
        <v>1.0780000000000001</v>
      </c>
      <c r="AI57" s="106">
        <v>1.0529999999999999</v>
      </c>
      <c r="AJ57" s="106">
        <v>1.044</v>
      </c>
      <c r="AK57" s="106">
        <v>1.044</v>
      </c>
      <c r="AL57" s="106">
        <v>1.044</v>
      </c>
      <c r="AM57" s="103">
        <v>0</v>
      </c>
      <c r="AN57" s="103">
        <f>L63*1.2*AG57*AH57*AI57</f>
        <v>9780.2577146514232</v>
      </c>
      <c r="AO57" s="103">
        <f>SUM(L57:L62)*1.2*AG57*AH57*AI57*AJ57</f>
        <v>57872.663744244157</v>
      </c>
      <c r="AP57" s="103">
        <v>0</v>
      </c>
      <c r="AQ57" s="103">
        <v>0</v>
      </c>
    </row>
    <row r="58" spans="1:43" ht="66" customHeight="1" x14ac:dyDescent="0.3">
      <c r="A58" s="109"/>
      <c r="B58" s="116"/>
      <c r="C58" s="138"/>
      <c r="D58" s="54" t="s">
        <v>172</v>
      </c>
      <c r="E58" s="54" t="s">
        <v>82</v>
      </c>
      <c r="F58" s="54">
        <v>1</v>
      </c>
      <c r="G58" s="58" t="s">
        <v>173</v>
      </c>
      <c r="H58" s="59">
        <v>5649.95</v>
      </c>
      <c r="I58" s="59">
        <f t="shared" ref="I58:I62" si="49">F58*H58</f>
        <v>5649.95</v>
      </c>
      <c r="J58" s="59" t="s">
        <v>168</v>
      </c>
      <c r="K58" s="60">
        <v>1.53</v>
      </c>
      <c r="L58" s="59">
        <f t="shared" ref="L58:L59" si="50">I58*K58</f>
        <v>8644.423499999999</v>
      </c>
      <c r="M58" s="104"/>
      <c r="N58" s="104"/>
      <c r="O58" s="104"/>
      <c r="P58" s="104"/>
      <c r="Q58" s="104"/>
      <c r="R58" s="107"/>
      <c r="S58" s="107"/>
      <c r="T58" s="107"/>
      <c r="U58" s="107"/>
      <c r="V58" s="107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7"/>
      <c r="AH58" s="107"/>
      <c r="AI58" s="107"/>
      <c r="AJ58" s="107"/>
      <c r="AK58" s="107"/>
      <c r="AL58" s="107"/>
      <c r="AM58" s="104"/>
      <c r="AN58" s="104"/>
      <c r="AO58" s="104"/>
      <c r="AP58" s="104"/>
      <c r="AQ58" s="104"/>
    </row>
    <row r="59" spans="1:43" ht="37.5" customHeight="1" x14ac:dyDescent="0.3">
      <c r="A59" s="109"/>
      <c r="B59" s="116"/>
      <c r="C59" s="138"/>
      <c r="D59" s="54" t="s">
        <v>92</v>
      </c>
      <c r="E59" s="54" t="s">
        <v>82</v>
      </c>
      <c r="F59" s="54">
        <v>19</v>
      </c>
      <c r="G59" s="58" t="s">
        <v>37</v>
      </c>
      <c r="H59" s="59">
        <v>330.05</v>
      </c>
      <c r="I59" s="59">
        <f t="shared" si="49"/>
        <v>6270.95</v>
      </c>
      <c r="J59" s="59" t="s">
        <v>171</v>
      </c>
      <c r="K59" s="60">
        <v>1.55</v>
      </c>
      <c r="L59" s="59">
        <f t="shared" si="50"/>
        <v>9719.9724999999999</v>
      </c>
      <c r="M59" s="104"/>
      <c r="N59" s="104"/>
      <c r="O59" s="104"/>
      <c r="P59" s="104"/>
      <c r="Q59" s="104"/>
      <c r="R59" s="107"/>
      <c r="S59" s="107"/>
      <c r="T59" s="107"/>
      <c r="U59" s="107"/>
      <c r="V59" s="107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7"/>
      <c r="AH59" s="107"/>
      <c r="AI59" s="107"/>
      <c r="AJ59" s="107"/>
      <c r="AK59" s="107"/>
      <c r="AL59" s="107"/>
      <c r="AM59" s="104"/>
      <c r="AN59" s="104"/>
      <c r="AO59" s="104"/>
      <c r="AP59" s="104"/>
      <c r="AQ59" s="104"/>
    </row>
    <row r="60" spans="1:43" ht="99" customHeight="1" x14ac:dyDescent="0.3">
      <c r="A60" s="109"/>
      <c r="B60" s="116"/>
      <c r="C60" s="138"/>
      <c r="D60" s="54" t="s">
        <v>182</v>
      </c>
      <c r="E60" s="54" t="s">
        <v>82</v>
      </c>
      <c r="F60" s="54">
        <v>1</v>
      </c>
      <c r="G60" s="58" t="s">
        <v>183</v>
      </c>
      <c r="H60" s="59">
        <v>3208</v>
      </c>
      <c r="I60" s="59">
        <f t="shared" si="49"/>
        <v>3208</v>
      </c>
      <c r="J60" s="59" t="s">
        <v>165</v>
      </c>
      <c r="K60" s="60">
        <v>1.53</v>
      </c>
      <c r="L60" s="59">
        <f t="shared" ref="L60:L61" si="51">I60*K60</f>
        <v>4908.24</v>
      </c>
      <c r="M60" s="104"/>
      <c r="N60" s="104"/>
      <c r="O60" s="104"/>
      <c r="P60" s="104"/>
      <c r="Q60" s="104"/>
      <c r="R60" s="107"/>
      <c r="S60" s="107"/>
      <c r="T60" s="107"/>
      <c r="U60" s="107"/>
      <c r="V60" s="107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7"/>
      <c r="AH60" s="107"/>
      <c r="AI60" s="107"/>
      <c r="AJ60" s="107"/>
      <c r="AK60" s="107"/>
      <c r="AL60" s="107"/>
      <c r="AM60" s="104"/>
      <c r="AN60" s="104"/>
      <c r="AO60" s="104"/>
      <c r="AP60" s="104"/>
      <c r="AQ60" s="104"/>
    </row>
    <row r="61" spans="1:43" ht="48" customHeight="1" x14ac:dyDescent="0.3">
      <c r="A61" s="109"/>
      <c r="B61" s="116"/>
      <c r="C61" s="138"/>
      <c r="D61" s="54" t="s">
        <v>181</v>
      </c>
      <c r="E61" s="54" t="s">
        <v>82</v>
      </c>
      <c r="F61" s="54">
        <v>1</v>
      </c>
      <c r="G61" s="58" t="s">
        <v>105</v>
      </c>
      <c r="H61" s="59">
        <v>2123.79</v>
      </c>
      <c r="I61" s="59">
        <f t="shared" si="49"/>
        <v>2123.79</v>
      </c>
      <c r="J61" s="59" t="s">
        <v>165</v>
      </c>
      <c r="K61" s="60">
        <v>1.53</v>
      </c>
      <c r="L61" s="59">
        <f t="shared" si="51"/>
        <v>3249.3987000000002</v>
      </c>
      <c r="M61" s="104"/>
      <c r="N61" s="104"/>
      <c r="O61" s="104"/>
      <c r="P61" s="104"/>
      <c r="Q61" s="104"/>
      <c r="R61" s="107"/>
      <c r="S61" s="107"/>
      <c r="T61" s="107"/>
      <c r="U61" s="107"/>
      <c r="V61" s="107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7"/>
      <c r="AH61" s="107"/>
      <c r="AI61" s="107"/>
      <c r="AJ61" s="107"/>
      <c r="AK61" s="107"/>
      <c r="AL61" s="107"/>
      <c r="AM61" s="104"/>
      <c r="AN61" s="104"/>
      <c r="AO61" s="104"/>
      <c r="AP61" s="104"/>
      <c r="AQ61" s="104"/>
    </row>
    <row r="62" spans="1:43" ht="74.25" customHeight="1" x14ac:dyDescent="0.3">
      <c r="A62" s="109"/>
      <c r="B62" s="116"/>
      <c r="C62" s="138"/>
      <c r="D62" s="54" t="s">
        <v>179</v>
      </c>
      <c r="E62" s="54" t="s">
        <v>82</v>
      </c>
      <c r="F62" s="54">
        <v>1</v>
      </c>
      <c r="G62" s="58" t="s">
        <v>180</v>
      </c>
      <c r="H62" s="59">
        <v>2888.32</v>
      </c>
      <c r="I62" s="59">
        <f t="shared" si="49"/>
        <v>2888.32</v>
      </c>
      <c r="J62" s="59" t="s">
        <v>168</v>
      </c>
      <c r="K62" s="60">
        <v>1.53</v>
      </c>
      <c r="L62" s="59">
        <f>I62*K62</f>
        <v>4419.1296000000002</v>
      </c>
      <c r="M62" s="104"/>
      <c r="N62" s="104"/>
      <c r="O62" s="104"/>
      <c r="P62" s="104"/>
      <c r="Q62" s="104"/>
      <c r="R62" s="107"/>
      <c r="S62" s="107"/>
      <c r="T62" s="107"/>
      <c r="U62" s="107"/>
      <c r="V62" s="107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7"/>
      <c r="AH62" s="107"/>
      <c r="AI62" s="107"/>
      <c r="AJ62" s="107"/>
      <c r="AK62" s="107"/>
      <c r="AL62" s="107"/>
      <c r="AM62" s="104"/>
      <c r="AN62" s="104"/>
      <c r="AO62" s="104"/>
      <c r="AP62" s="104"/>
      <c r="AQ62" s="104"/>
    </row>
    <row r="63" spans="1:43" ht="44.25" customHeight="1" x14ac:dyDescent="0.3">
      <c r="A63" s="109"/>
      <c r="B63" s="116"/>
      <c r="C63" s="138"/>
      <c r="D63" s="54" t="s">
        <v>103</v>
      </c>
      <c r="E63" s="54" t="s">
        <v>38</v>
      </c>
      <c r="F63" s="54">
        <v>2</v>
      </c>
      <c r="G63" s="58" t="s">
        <v>104</v>
      </c>
      <c r="H63" s="59">
        <v>3290.54</v>
      </c>
      <c r="I63" s="59">
        <f t="shared" si="41"/>
        <v>6581.08</v>
      </c>
      <c r="J63" s="59" t="s">
        <v>35</v>
      </c>
      <c r="K63" s="59" t="s">
        <v>35</v>
      </c>
      <c r="L63" s="59">
        <f>I63</f>
        <v>6581.08</v>
      </c>
      <c r="M63" s="105"/>
      <c r="N63" s="105"/>
      <c r="O63" s="105"/>
      <c r="P63" s="105"/>
      <c r="Q63" s="105"/>
      <c r="R63" s="108"/>
      <c r="S63" s="108"/>
      <c r="T63" s="108"/>
      <c r="U63" s="108"/>
      <c r="V63" s="108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8"/>
      <c r="AH63" s="108"/>
      <c r="AI63" s="108"/>
      <c r="AJ63" s="108"/>
      <c r="AK63" s="108"/>
      <c r="AL63" s="108"/>
      <c r="AM63" s="105"/>
      <c r="AN63" s="105"/>
      <c r="AO63" s="105"/>
      <c r="AP63" s="105"/>
      <c r="AQ63" s="105"/>
    </row>
    <row r="64" spans="1:43" ht="90" customHeight="1" x14ac:dyDescent="0.3">
      <c r="A64" s="109">
        <v>16</v>
      </c>
      <c r="B64" s="116" t="s">
        <v>156</v>
      </c>
      <c r="C64" s="138" t="s">
        <v>60</v>
      </c>
      <c r="D64" s="54" t="s">
        <v>108</v>
      </c>
      <c r="E64" s="54" t="s">
        <v>36</v>
      </c>
      <c r="F64" s="54">
        <v>9</v>
      </c>
      <c r="G64" s="32" t="s">
        <v>109</v>
      </c>
      <c r="H64" s="59">
        <v>2222.1</v>
      </c>
      <c r="I64" s="59">
        <f t="shared" si="41"/>
        <v>19998.899999999998</v>
      </c>
      <c r="J64" s="59" t="s">
        <v>165</v>
      </c>
      <c r="K64" s="60">
        <v>1.44</v>
      </c>
      <c r="L64" s="59">
        <f>I64*K64</f>
        <v>28798.415999999997</v>
      </c>
      <c r="M64" s="103">
        <f>SUM(L64:L66)</f>
        <v>42652.897999999994</v>
      </c>
      <c r="N64" s="103">
        <f>M64*0.2</f>
        <v>8530.5795999999991</v>
      </c>
      <c r="O64" s="103">
        <f>M64+N64</f>
        <v>51183.477599999991</v>
      </c>
      <c r="P64" s="103">
        <f>O64</f>
        <v>51183.477599999991</v>
      </c>
      <c r="Q64" s="103">
        <f>SUM(W64:AC66)</f>
        <v>49625.558523600375</v>
      </c>
      <c r="R64" s="106">
        <v>1.048</v>
      </c>
      <c r="S64" s="106">
        <v>1.046</v>
      </c>
      <c r="T64" s="106">
        <v>1.046</v>
      </c>
      <c r="U64" s="106">
        <v>1.046</v>
      </c>
      <c r="V64" s="106">
        <v>1.046</v>
      </c>
      <c r="W64" s="103">
        <v>0</v>
      </c>
      <c r="X64" s="103">
        <v>0</v>
      </c>
      <c r="Y64" s="103">
        <v>0</v>
      </c>
      <c r="Z64" s="103">
        <f>L66*R64*S64*1.2</f>
        <v>5597.2512024960006</v>
      </c>
      <c r="AA64" s="103">
        <f>SUM(L64:L65)*R64*S64*T64</f>
        <v>44028.307321104374</v>
      </c>
      <c r="AB64" s="103">
        <v>0</v>
      </c>
      <c r="AC64" s="103">
        <v>0</v>
      </c>
      <c r="AD64" s="103">
        <f>O64</f>
        <v>51183.477599999991</v>
      </c>
      <c r="AE64" s="103">
        <f>AD64</f>
        <v>51183.477599999991</v>
      </c>
      <c r="AF64" s="103">
        <f>SUM(AM64:AQ66)</f>
        <v>65898.02118977833</v>
      </c>
      <c r="AG64" s="106">
        <v>1.091</v>
      </c>
      <c r="AH64" s="106">
        <v>1.0780000000000001</v>
      </c>
      <c r="AI64" s="106">
        <v>1.0529999999999999</v>
      </c>
      <c r="AJ64" s="106">
        <v>1.044</v>
      </c>
      <c r="AK64" s="106">
        <v>1.044</v>
      </c>
      <c r="AL64" s="106">
        <v>1.044</v>
      </c>
      <c r="AM64" s="103">
        <v>0</v>
      </c>
      <c r="AN64" s="103">
        <f>L66*1.2*AG64*AH64*AI64</f>
        <v>6323.4445377383281</v>
      </c>
      <c r="AO64" s="103">
        <f>SUM(L64:L65)*1.2*AG64*AH64*AI64*AJ64</f>
        <v>59574.576652039999</v>
      </c>
      <c r="AP64" s="103">
        <v>0</v>
      </c>
      <c r="AQ64" s="103">
        <v>0</v>
      </c>
    </row>
    <row r="65" spans="1:45" ht="90.75" customHeight="1" x14ac:dyDescent="0.3">
      <c r="A65" s="109"/>
      <c r="B65" s="116"/>
      <c r="C65" s="138"/>
      <c r="D65" s="54" t="s">
        <v>110</v>
      </c>
      <c r="E65" s="54" t="s">
        <v>36</v>
      </c>
      <c r="F65" s="54">
        <v>3</v>
      </c>
      <c r="G65" s="32" t="s">
        <v>84</v>
      </c>
      <c r="H65" s="59">
        <v>2222.1</v>
      </c>
      <c r="I65" s="59">
        <f t="shared" ref="I65" si="52">F65*H65</f>
        <v>6666.2999999999993</v>
      </c>
      <c r="J65" s="59" t="s">
        <v>165</v>
      </c>
      <c r="K65" s="60">
        <v>1.44</v>
      </c>
      <c r="L65" s="59">
        <f>I65*K65</f>
        <v>9599.4719999999979</v>
      </c>
      <c r="M65" s="104"/>
      <c r="N65" s="104"/>
      <c r="O65" s="104"/>
      <c r="P65" s="104"/>
      <c r="Q65" s="104"/>
      <c r="R65" s="107"/>
      <c r="S65" s="107"/>
      <c r="T65" s="107"/>
      <c r="U65" s="107"/>
      <c r="V65" s="107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7"/>
      <c r="AH65" s="107"/>
      <c r="AI65" s="107"/>
      <c r="AJ65" s="107"/>
      <c r="AK65" s="107"/>
      <c r="AL65" s="107"/>
      <c r="AM65" s="104"/>
      <c r="AN65" s="104"/>
      <c r="AO65" s="104"/>
      <c r="AP65" s="104"/>
      <c r="AQ65" s="104"/>
    </row>
    <row r="66" spans="1:45" ht="44.25" customHeight="1" x14ac:dyDescent="0.3">
      <c r="A66" s="109"/>
      <c r="B66" s="116"/>
      <c r="C66" s="138"/>
      <c r="D66" s="54" t="s">
        <v>102</v>
      </c>
      <c r="E66" s="54" t="s">
        <v>38</v>
      </c>
      <c r="F66" s="54">
        <v>1</v>
      </c>
      <c r="G66" s="58" t="s">
        <v>241</v>
      </c>
      <c r="H66" s="59">
        <v>4255.01</v>
      </c>
      <c r="I66" s="59">
        <f t="shared" ref="I66:I69" si="53">F66*H66</f>
        <v>4255.01</v>
      </c>
      <c r="J66" s="59" t="s">
        <v>35</v>
      </c>
      <c r="K66" s="59" t="s">
        <v>35</v>
      </c>
      <c r="L66" s="59">
        <f>I66</f>
        <v>4255.01</v>
      </c>
      <c r="M66" s="105"/>
      <c r="N66" s="105"/>
      <c r="O66" s="105"/>
      <c r="P66" s="105"/>
      <c r="Q66" s="105"/>
      <c r="R66" s="108"/>
      <c r="S66" s="108"/>
      <c r="T66" s="108"/>
      <c r="U66" s="108"/>
      <c r="V66" s="108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8"/>
      <c r="AH66" s="108"/>
      <c r="AI66" s="108"/>
      <c r="AJ66" s="108"/>
      <c r="AK66" s="108"/>
      <c r="AL66" s="108"/>
      <c r="AM66" s="105"/>
      <c r="AN66" s="105"/>
      <c r="AO66" s="105"/>
      <c r="AP66" s="105"/>
      <c r="AQ66" s="105"/>
    </row>
    <row r="67" spans="1:45" ht="65.25" customHeight="1" x14ac:dyDescent="0.3">
      <c r="A67" s="109">
        <v>17</v>
      </c>
      <c r="B67" s="116" t="s">
        <v>158</v>
      </c>
      <c r="C67" s="138" t="s">
        <v>60</v>
      </c>
      <c r="D67" s="54" t="s">
        <v>108</v>
      </c>
      <c r="E67" s="54" t="s">
        <v>36</v>
      </c>
      <c r="F67" s="54">
        <v>3</v>
      </c>
      <c r="G67" s="58" t="s">
        <v>80</v>
      </c>
      <c r="H67" s="59">
        <v>2222.1</v>
      </c>
      <c r="I67" s="59">
        <f>F67*H67</f>
        <v>6666.2999999999993</v>
      </c>
      <c r="J67" s="59" t="s">
        <v>165</v>
      </c>
      <c r="K67" s="60">
        <v>1.44</v>
      </c>
      <c r="L67" s="59">
        <f t="shared" ref="L67:L68" si="54">I67*K67</f>
        <v>9599.4719999999979</v>
      </c>
      <c r="M67" s="103">
        <f>SUM(L67:L73)</f>
        <v>33542.544152999995</v>
      </c>
      <c r="N67" s="103">
        <f>M67*0.2</f>
        <v>6708.5088305999998</v>
      </c>
      <c r="O67" s="103">
        <f>M67+N67</f>
        <v>40251.052983599991</v>
      </c>
      <c r="P67" s="103">
        <f>O67</f>
        <v>40251.052983599991</v>
      </c>
      <c r="Q67" s="103">
        <f>SUM(W67:AC73)</f>
        <v>48276.256089266062</v>
      </c>
      <c r="R67" s="106">
        <v>1.048</v>
      </c>
      <c r="S67" s="106">
        <v>1.046</v>
      </c>
      <c r="T67" s="106">
        <v>1.046</v>
      </c>
      <c r="U67" s="106">
        <v>1.046</v>
      </c>
      <c r="V67" s="106">
        <v>1.046</v>
      </c>
      <c r="W67" s="103">
        <v>0</v>
      </c>
      <c r="X67" s="103">
        <v>0</v>
      </c>
      <c r="Y67" s="103">
        <v>0</v>
      </c>
      <c r="Z67" s="103">
        <v>0</v>
      </c>
      <c r="AA67" s="103">
        <v>0</v>
      </c>
      <c r="AB67" s="103">
        <f>O67*R67*S67*T67*U67</f>
        <v>48276.256089266062</v>
      </c>
      <c r="AC67" s="103">
        <v>0</v>
      </c>
      <c r="AD67" s="103">
        <f>O67</f>
        <v>40251.052983599991</v>
      </c>
      <c r="AE67" s="103">
        <f>AD67</f>
        <v>40251.052983599991</v>
      </c>
      <c r="AF67" s="103">
        <f>SUM(AM67:AQ73)</f>
        <v>54331.303688583539</v>
      </c>
      <c r="AG67" s="106">
        <v>1.091</v>
      </c>
      <c r="AH67" s="106">
        <v>1.0780000000000001</v>
      </c>
      <c r="AI67" s="106">
        <v>1.0529999999999999</v>
      </c>
      <c r="AJ67" s="106">
        <v>1.044</v>
      </c>
      <c r="AK67" s="106">
        <v>1.044</v>
      </c>
      <c r="AL67" s="106">
        <v>1.044</v>
      </c>
      <c r="AM67" s="103">
        <v>0</v>
      </c>
      <c r="AN67" s="103">
        <v>0</v>
      </c>
      <c r="AO67" s="103">
        <v>0</v>
      </c>
      <c r="AP67" s="103">
        <f>AD67*AH67*AI67*AJ67*AK67*AG67</f>
        <v>54331.303688583539</v>
      </c>
      <c r="AQ67" s="103">
        <v>0</v>
      </c>
    </row>
    <row r="68" spans="1:45" ht="74.25" customHeight="1" x14ac:dyDescent="0.3">
      <c r="A68" s="109"/>
      <c r="B68" s="116"/>
      <c r="C68" s="138"/>
      <c r="D68" s="54" t="s">
        <v>166</v>
      </c>
      <c r="E68" s="54" t="s">
        <v>82</v>
      </c>
      <c r="F68" s="54">
        <v>2</v>
      </c>
      <c r="G68" s="58" t="s">
        <v>167</v>
      </c>
      <c r="H68" s="59">
        <v>2078.36</v>
      </c>
      <c r="I68" s="59">
        <f t="shared" ref="I68" si="55">F68*H68</f>
        <v>4156.72</v>
      </c>
      <c r="J68" s="59" t="s">
        <v>168</v>
      </c>
      <c r="K68" s="60">
        <v>1.53</v>
      </c>
      <c r="L68" s="59">
        <f t="shared" si="54"/>
        <v>6359.7816000000003</v>
      </c>
      <c r="M68" s="104"/>
      <c r="N68" s="104"/>
      <c r="O68" s="104"/>
      <c r="P68" s="104"/>
      <c r="Q68" s="104"/>
      <c r="R68" s="107"/>
      <c r="S68" s="107"/>
      <c r="T68" s="107"/>
      <c r="U68" s="107"/>
      <c r="V68" s="107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7"/>
      <c r="AH68" s="107"/>
      <c r="AI68" s="107"/>
      <c r="AJ68" s="107"/>
      <c r="AK68" s="107"/>
      <c r="AL68" s="107"/>
      <c r="AM68" s="104"/>
      <c r="AN68" s="104"/>
      <c r="AO68" s="104"/>
      <c r="AP68" s="104"/>
      <c r="AQ68" s="104"/>
    </row>
    <row r="69" spans="1:45" ht="62.25" customHeight="1" x14ac:dyDescent="0.3">
      <c r="A69" s="109"/>
      <c r="B69" s="116"/>
      <c r="C69" s="138"/>
      <c r="D69" s="54" t="s">
        <v>172</v>
      </c>
      <c r="E69" s="54" t="s">
        <v>82</v>
      </c>
      <c r="F69" s="54">
        <v>1</v>
      </c>
      <c r="G69" s="58" t="s">
        <v>173</v>
      </c>
      <c r="H69" s="59">
        <v>5649.95</v>
      </c>
      <c r="I69" s="59">
        <f t="shared" si="53"/>
        <v>5649.95</v>
      </c>
      <c r="J69" s="59" t="s">
        <v>168</v>
      </c>
      <c r="K69" s="60">
        <v>1.53</v>
      </c>
      <c r="L69" s="59">
        <f t="shared" ref="L69" si="56">I69*K69</f>
        <v>8644.423499999999</v>
      </c>
      <c r="M69" s="104"/>
      <c r="N69" s="104"/>
      <c r="O69" s="104"/>
      <c r="P69" s="104"/>
      <c r="Q69" s="104"/>
      <c r="R69" s="107"/>
      <c r="S69" s="107"/>
      <c r="T69" s="107"/>
      <c r="U69" s="107"/>
      <c r="V69" s="107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7"/>
      <c r="AH69" s="107"/>
      <c r="AI69" s="107"/>
      <c r="AJ69" s="107"/>
      <c r="AK69" s="107"/>
      <c r="AL69" s="107"/>
      <c r="AM69" s="104"/>
      <c r="AN69" s="104"/>
      <c r="AO69" s="104"/>
      <c r="AP69" s="104"/>
      <c r="AQ69" s="104"/>
    </row>
    <row r="70" spans="1:45" ht="35.25" customHeight="1" x14ac:dyDescent="0.3">
      <c r="A70" s="109"/>
      <c r="B70" s="116"/>
      <c r="C70" s="138"/>
      <c r="D70" s="54" t="s">
        <v>111</v>
      </c>
      <c r="E70" s="54" t="s">
        <v>82</v>
      </c>
      <c r="F70" s="54">
        <v>1</v>
      </c>
      <c r="G70" s="58" t="s">
        <v>112</v>
      </c>
      <c r="H70" s="59">
        <v>2252.79</v>
      </c>
      <c r="I70" s="59">
        <f>F70*H70</f>
        <v>2252.79</v>
      </c>
      <c r="J70" s="59" t="s">
        <v>171</v>
      </c>
      <c r="K70" s="60">
        <v>1.55</v>
      </c>
      <c r="L70" s="59">
        <f>I70*K70</f>
        <v>3491.8245000000002</v>
      </c>
      <c r="M70" s="104"/>
      <c r="N70" s="104"/>
      <c r="O70" s="104"/>
      <c r="P70" s="104"/>
      <c r="Q70" s="104"/>
      <c r="R70" s="107"/>
      <c r="S70" s="107"/>
      <c r="T70" s="107"/>
      <c r="U70" s="107"/>
      <c r="V70" s="107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7"/>
      <c r="AH70" s="107"/>
      <c r="AI70" s="107"/>
      <c r="AJ70" s="107"/>
      <c r="AK70" s="107"/>
      <c r="AL70" s="107"/>
      <c r="AM70" s="104"/>
      <c r="AN70" s="104"/>
      <c r="AO70" s="104"/>
      <c r="AP70" s="104"/>
      <c r="AQ70" s="104"/>
    </row>
    <row r="71" spans="1:45" ht="54.75" customHeight="1" x14ac:dyDescent="0.3">
      <c r="A71" s="109"/>
      <c r="B71" s="116"/>
      <c r="C71" s="138"/>
      <c r="D71" s="54" t="s">
        <v>95</v>
      </c>
      <c r="E71" s="54" t="s">
        <v>33</v>
      </c>
      <c r="F71" s="54">
        <v>1.115</v>
      </c>
      <c r="G71" s="58" t="s">
        <v>96</v>
      </c>
      <c r="H71" s="59">
        <v>291.14</v>
      </c>
      <c r="I71" s="59">
        <f t="shared" ref="I71:I72" si="57">F71*H71</f>
        <v>324.62109999999996</v>
      </c>
      <c r="J71" s="59" t="s">
        <v>175</v>
      </c>
      <c r="K71" s="60">
        <v>1.55</v>
      </c>
      <c r="L71" s="59">
        <f>I71*K71</f>
        <v>503.16270499999996</v>
      </c>
      <c r="M71" s="104"/>
      <c r="N71" s="104"/>
      <c r="O71" s="104"/>
      <c r="P71" s="104"/>
      <c r="Q71" s="104"/>
      <c r="R71" s="107"/>
      <c r="S71" s="107"/>
      <c r="T71" s="107"/>
      <c r="U71" s="107"/>
      <c r="V71" s="107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7"/>
      <c r="AH71" s="107"/>
      <c r="AI71" s="107"/>
      <c r="AJ71" s="107"/>
      <c r="AK71" s="107"/>
      <c r="AL71" s="107"/>
      <c r="AM71" s="104"/>
      <c r="AN71" s="104"/>
      <c r="AO71" s="104"/>
      <c r="AP71" s="104"/>
      <c r="AQ71" s="104"/>
      <c r="AS71" s="57"/>
    </row>
    <row r="72" spans="1:45" ht="51" customHeight="1" x14ac:dyDescent="0.3">
      <c r="A72" s="109"/>
      <c r="B72" s="116"/>
      <c r="C72" s="138"/>
      <c r="D72" s="54" t="s">
        <v>97</v>
      </c>
      <c r="E72" s="54" t="s">
        <v>33</v>
      </c>
      <c r="F72" s="54">
        <v>1.369</v>
      </c>
      <c r="G72" s="58" t="s">
        <v>98</v>
      </c>
      <c r="H72" s="59">
        <v>324.64</v>
      </c>
      <c r="I72" s="59">
        <f t="shared" si="57"/>
        <v>444.43215999999995</v>
      </c>
      <c r="J72" s="59" t="s">
        <v>175</v>
      </c>
      <c r="K72" s="60">
        <v>1.55</v>
      </c>
      <c r="L72" s="59">
        <f>I72*K72</f>
        <v>688.86984799999993</v>
      </c>
      <c r="M72" s="104"/>
      <c r="N72" s="104"/>
      <c r="O72" s="104"/>
      <c r="P72" s="104"/>
      <c r="Q72" s="104"/>
      <c r="R72" s="107"/>
      <c r="S72" s="107"/>
      <c r="T72" s="107"/>
      <c r="U72" s="107"/>
      <c r="V72" s="107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7"/>
      <c r="AH72" s="107"/>
      <c r="AI72" s="107"/>
      <c r="AJ72" s="107"/>
      <c r="AK72" s="107"/>
      <c r="AL72" s="107"/>
      <c r="AM72" s="104"/>
      <c r="AN72" s="104"/>
      <c r="AO72" s="104"/>
      <c r="AP72" s="104"/>
      <c r="AQ72" s="104"/>
      <c r="AS72" s="57"/>
    </row>
    <row r="73" spans="1:45" ht="51.75" customHeight="1" x14ac:dyDescent="0.3">
      <c r="A73" s="109"/>
      <c r="B73" s="116"/>
      <c r="C73" s="138"/>
      <c r="D73" s="54" t="s">
        <v>102</v>
      </c>
      <c r="E73" s="54" t="s">
        <v>82</v>
      </c>
      <c r="F73" s="54">
        <v>1</v>
      </c>
      <c r="G73" s="58" t="s">
        <v>241</v>
      </c>
      <c r="H73" s="59">
        <v>4255.01</v>
      </c>
      <c r="I73" s="59">
        <f t="shared" ref="I73" si="58">F73*H73</f>
        <v>4255.01</v>
      </c>
      <c r="J73" s="59" t="s">
        <v>35</v>
      </c>
      <c r="K73" s="59" t="s">
        <v>35</v>
      </c>
      <c r="L73" s="59">
        <f>I73</f>
        <v>4255.01</v>
      </c>
      <c r="M73" s="104"/>
      <c r="N73" s="104"/>
      <c r="O73" s="104"/>
      <c r="P73" s="105"/>
      <c r="Q73" s="105"/>
      <c r="R73" s="107"/>
      <c r="S73" s="107"/>
      <c r="T73" s="107"/>
      <c r="U73" s="107"/>
      <c r="V73" s="107"/>
      <c r="W73" s="104"/>
      <c r="X73" s="104"/>
      <c r="Y73" s="104"/>
      <c r="Z73" s="104"/>
      <c r="AA73" s="104"/>
      <c r="AB73" s="104"/>
      <c r="AC73" s="104"/>
      <c r="AD73" s="104"/>
      <c r="AE73" s="105"/>
      <c r="AF73" s="105"/>
      <c r="AG73" s="107"/>
      <c r="AH73" s="107"/>
      <c r="AI73" s="107"/>
      <c r="AJ73" s="107"/>
      <c r="AK73" s="107"/>
      <c r="AL73" s="107"/>
      <c r="AM73" s="104"/>
      <c r="AN73" s="104"/>
      <c r="AO73" s="104"/>
      <c r="AP73" s="104"/>
      <c r="AQ73" s="104"/>
    </row>
    <row r="74" spans="1:45" ht="63.75" customHeight="1" x14ac:dyDescent="0.3">
      <c r="A74" s="109">
        <v>18</v>
      </c>
      <c r="B74" s="116" t="s">
        <v>235</v>
      </c>
      <c r="C74" s="138" t="s">
        <v>67</v>
      </c>
      <c r="D74" s="54" t="s">
        <v>81</v>
      </c>
      <c r="E74" s="54" t="s">
        <v>36</v>
      </c>
      <c r="F74" s="54">
        <v>3</v>
      </c>
      <c r="G74" s="58" t="s">
        <v>80</v>
      </c>
      <c r="H74" s="59">
        <v>5058.3</v>
      </c>
      <c r="I74" s="59">
        <f>F74*H74</f>
        <v>15174.900000000001</v>
      </c>
      <c r="J74" s="59" t="s">
        <v>165</v>
      </c>
      <c r="K74" s="60">
        <v>1.44</v>
      </c>
      <c r="L74" s="59">
        <f t="shared" ref="L74" si="59">I74*K74</f>
        <v>21851.856</v>
      </c>
      <c r="M74" s="103">
        <f>SUM(L74:L81)</f>
        <v>78675.332800000004</v>
      </c>
      <c r="N74" s="103">
        <f>M74*0.2</f>
        <v>15735.066560000001</v>
      </c>
      <c r="O74" s="103">
        <f>M74+N74</f>
        <v>94410.39936000001</v>
      </c>
      <c r="P74" s="103">
        <f>O74</f>
        <v>94410.39936000001</v>
      </c>
      <c r="Q74" s="103">
        <f>SUM(W74:AC81)</f>
        <v>117738.31389075219</v>
      </c>
      <c r="R74" s="106">
        <v>1.048</v>
      </c>
      <c r="S74" s="106">
        <v>1.046</v>
      </c>
      <c r="T74" s="106">
        <v>1.046</v>
      </c>
      <c r="U74" s="106">
        <v>1.046</v>
      </c>
      <c r="V74" s="106">
        <v>1.046</v>
      </c>
      <c r="W74" s="103">
        <v>0</v>
      </c>
      <c r="X74" s="103">
        <v>0</v>
      </c>
      <c r="Y74" s="103">
        <v>0</v>
      </c>
      <c r="Z74" s="103">
        <v>0</v>
      </c>
      <c r="AA74" s="103">
        <v>0</v>
      </c>
      <c r="AB74" s="103">
        <f>L81*1.2*R74*S74*T74*U74</f>
        <v>15310.11243794756</v>
      </c>
      <c r="AC74" s="103">
        <f>SUM(L74:L80)*1.2*R74*S74*T74*U74*V74</f>
        <v>102428.20145280463</v>
      </c>
      <c r="AD74" s="103">
        <f>O74</f>
        <v>94410.39936000001</v>
      </c>
      <c r="AE74" s="103">
        <f>AD74</f>
        <v>94410.39936000001</v>
      </c>
      <c r="AF74" s="103">
        <f>SUM(AM74:AQ81)</f>
        <v>132285.2258931729</v>
      </c>
      <c r="AG74" s="106">
        <v>1.091</v>
      </c>
      <c r="AH74" s="106">
        <v>1.0780000000000001</v>
      </c>
      <c r="AI74" s="106">
        <v>1.0529999999999999</v>
      </c>
      <c r="AJ74" s="106">
        <v>1.044</v>
      </c>
      <c r="AK74" s="106">
        <v>1.044</v>
      </c>
      <c r="AL74" s="106">
        <v>1.044</v>
      </c>
      <c r="AM74" s="103">
        <v>0</v>
      </c>
      <c r="AN74" s="103">
        <v>0</v>
      </c>
      <c r="AO74" s="103">
        <v>0</v>
      </c>
      <c r="AP74" s="103">
        <f>L81*1.2*AG74*AH74*AI74*AJ74*AK74</f>
        <v>17230.38271307536</v>
      </c>
      <c r="AQ74" s="103">
        <f>SUM(L74:L80)*1.2*AG74*AH74*AI74*AJ74*AK74*AL74</f>
        <v>115054.84318009755</v>
      </c>
    </row>
    <row r="75" spans="1:45" ht="74.25" customHeight="1" x14ac:dyDescent="0.3">
      <c r="A75" s="109"/>
      <c r="B75" s="116"/>
      <c r="C75" s="138"/>
      <c r="D75" s="54" t="s">
        <v>187</v>
      </c>
      <c r="E75" s="54" t="s">
        <v>82</v>
      </c>
      <c r="F75" s="54">
        <v>1</v>
      </c>
      <c r="G75" s="58" t="s">
        <v>188</v>
      </c>
      <c r="H75" s="59">
        <v>18349.689999999999</v>
      </c>
      <c r="I75" s="59">
        <f t="shared" ref="I75" si="60">F75*H75</f>
        <v>18349.689999999999</v>
      </c>
      <c r="J75" s="59" t="s">
        <v>177</v>
      </c>
      <c r="K75" s="60">
        <v>1.1499999999999999</v>
      </c>
      <c r="L75" s="59">
        <f t="shared" ref="L75" si="61">I75*K75</f>
        <v>21102.143499999998</v>
      </c>
      <c r="M75" s="104"/>
      <c r="N75" s="104"/>
      <c r="O75" s="104"/>
      <c r="P75" s="104"/>
      <c r="Q75" s="104"/>
      <c r="R75" s="107"/>
      <c r="S75" s="107"/>
      <c r="T75" s="107"/>
      <c r="U75" s="107"/>
      <c r="V75" s="107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7"/>
      <c r="AH75" s="107"/>
      <c r="AI75" s="107"/>
      <c r="AJ75" s="107"/>
      <c r="AK75" s="107"/>
      <c r="AL75" s="107"/>
      <c r="AM75" s="104"/>
      <c r="AN75" s="104"/>
      <c r="AO75" s="104"/>
      <c r="AP75" s="104"/>
      <c r="AQ75" s="104"/>
    </row>
    <row r="76" spans="1:45" ht="56.25" customHeight="1" x14ac:dyDescent="0.3">
      <c r="A76" s="109"/>
      <c r="B76" s="116"/>
      <c r="C76" s="138"/>
      <c r="D76" s="54" t="s">
        <v>186</v>
      </c>
      <c r="E76" s="54" t="s">
        <v>82</v>
      </c>
      <c r="F76" s="54">
        <v>1</v>
      </c>
      <c r="G76" s="58" t="s">
        <v>113</v>
      </c>
      <c r="H76" s="59">
        <v>1128.8</v>
      </c>
      <c r="I76" s="59">
        <f t="shared" ref="I76" si="62">F76*H76</f>
        <v>1128.8</v>
      </c>
      <c r="J76" s="59" t="s">
        <v>177</v>
      </c>
      <c r="K76" s="60">
        <v>1.1499999999999999</v>
      </c>
      <c r="L76" s="59">
        <f t="shared" ref="L76" si="63">I76*K76</f>
        <v>1298.1199999999999</v>
      </c>
      <c r="M76" s="104"/>
      <c r="N76" s="104"/>
      <c r="O76" s="104"/>
      <c r="P76" s="104"/>
      <c r="Q76" s="104"/>
      <c r="R76" s="107"/>
      <c r="S76" s="107"/>
      <c r="T76" s="107"/>
      <c r="U76" s="107"/>
      <c r="V76" s="107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7"/>
      <c r="AH76" s="107"/>
      <c r="AI76" s="107"/>
      <c r="AJ76" s="107"/>
      <c r="AK76" s="107"/>
      <c r="AL76" s="107"/>
      <c r="AM76" s="104"/>
      <c r="AN76" s="104"/>
      <c r="AO76" s="104"/>
      <c r="AP76" s="104"/>
      <c r="AQ76" s="104"/>
    </row>
    <row r="77" spans="1:45" ht="52.5" customHeight="1" x14ac:dyDescent="0.3">
      <c r="A77" s="109"/>
      <c r="B77" s="116"/>
      <c r="C77" s="138"/>
      <c r="D77" s="54" t="s">
        <v>111</v>
      </c>
      <c r="E77" s="54" t="s">
        <v>82</v>
      </c>
      <c r="F77" s="54">
        <v>1</v>
      </c>
      <c r="G77" s="58" t="s">
        <v>112</v>
      </c>
      <c r="H77" s="59">
        <v>2252.79</v>
      </c>
      <c r="I77" s="59">
        <f>F77*H77</f>
        <v>2252.79</v>
      </c>
      <c r="J77" s="59" t="s">
        <v>171</v>
      </c>
      <c r="K77" s="60">
        <v>1.55</v>
      </c>
      <c r="L77" s="59">
        <f>I77*K77</f>
        <v>3491.8245000000002</v>
      </c>
      <c r="M77" s="104"/>
      <c r="N77" s="104"/>
      <c r="O77" s="104"/>
      <c r="P77" s="104"/>
      <c r="Q77" s="104"/>
      <c r="R77" s="107"/>
      <c r="S77" s="107"/>
      <c r="T77" s="107"/>
      <c r="U77" s="107"/>
      <c r="V77" s="107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7"/>
      <c r="AH77" s="107"/>
      <c r="AI77" s="107"/>
      <c r="AJ77" s="107"/>
      <c r="AK77" s="107"/>
      <c r="AL77" s="107"/>
      <c r="AM77" s="104"/>
      <c r="AN77" s="104"/>
      <c r="AO77" s="104"/>
      <c r="AP77" s="104"/>
      <c r="AQ77" s="104"/>
    </row>
    <row r="78" spans="1:45" ht="73.5" customHeight="1" x14ac:dyDescent="0.3">
      <c r="A78" s="109"/>
      <c r="B78" s="116"/>
      <c r="C78" s="138"/>
      <c r="D78" s="54" t="s">
        <v>172</v>
      </c>
      <c r="E78" s="54" t="s">
        <v>82</v>
      </c>
      <c r="F78" s="54">
        <v>1</v>
      </c>
      <c r="G78" s="58" t="s">
        <v>173</v>
      </c>
      <c r="H78" s="59">
        <v>5649.95</v>
      </c>
      <c r="I78" s="59">
        <f t="shared" ref="I78" si="64">F78*H78</f>
        <v>5649.95</v>
      </c>
      <c r="J78" s="59" t="s">
        <v>168</v>
      </c>
      <c r="K78" s="60">
        <v>1.53</v>
      </c>
      <c r="L78" s="59">
        <f t="shared" ref="L78:L80" si="65">I78*K78</f>
        <v>8644.423499999999</v>
      </c>
      <c r="M78" s="104"/>
      <c r="N78" s="104"/>
      <c r="O78" s="104"/>
      <c r="P78" s="104"/>
      <c r="Q78" s="104"/>
      <c r="R78" s="107"/>
      <c r="S78" s="107"/>
      <c r="T78" s="107"/>
      <c r="U78" s="107"/>
      <c r="V78" s="107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7"/>
      <c r="AH78" s="107"/>
      <c r="AI78" s="107"/>
      <c r="AJ78" s="107"/>
      <c r="AK78" s="107"/>
      <c r="AL78" s="107"/>
      <c r="AM78" s="104"/>
      <c r="AN78" s="104"/>
      <c r="AO78" s="104"/>
      <c r="AP78" s="104"/>
      <c r="AQ78" s="104"/>
    </row>
    <row r="79" spans="1:45" ht="62.25" customHeight="1" x14ac:dyDescent="0.3">
      <c r="A79" s="109"/>
      <c r="B79" s="116"/>
      <c r="C79" s="138"/>
      <c r="D79" s="54" t="s">
        <v>184</v>
      </c>
      <c r="E79" s="54" t="s">
        <v>82</v>
      </c>
      <c r="F79" s="54">
        <v>1</v>
      </c>
      <c r="G79" s="58" t="s">
        <v>185</v>
      </c>
      <c r="H79" s="59">
        <v>5490.22</v>
      </c>
      <c r="I79" s="59">
        <f t="shared" ref="I79:I80" si="66">F79*H79</f>
        <v>5490.22</v>
      </c>
      <c r="J79" s="59" t="s">
        <v>168</v>
      </c>
      <c r="K79" s="60">
        <v>1.53</v>
      </c>
      <c r="L79" s="59">
        <f t="shared" si="65"/>
        <v>8400.0366000000013</v>
      </c>
      <c r="M79" s="104"/>
      <c r="N79" s="104"/>
      <c r="O79" s="104"/>
      <c r="P79" s="104"/>
      <c r="Q79" s="104"/>
      <c r="R79" s="107"/>
      <c r="S79" s="107"/>
      <c r="T79" s="107"/>
      <c r="U79" s="107"/>
      <c r="V79" s="107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7"/>
      <c r="AH79" s="107"/>
      <c r="AI79" s="107"/>
      <c r="AJ79" s="107"/>
      <c r="AK79" s="107"/>
      <c r="AL79" s="107"/>
      <c r="AM79" s="104"/>
      <c r="AN79" s="104"/>
      <c r="AO79" s="104"/>
      <c r="AP79" s="104"/>
      <c r="AQ79" s="104"/>
    </row>
    <row r="80" spans="1:45" ht="55.5" customHeight="1" x14ac:dyDescent="0.3">
      <c r="A80" s="109"/>
      <c r="B80" s="116"/>
      <c r="C80" s="138"/>
      <c r="D80" s="54" t="s">
        <v>181</v>
      </c>
      <c r="E80" s="54" t="s">
        <v>82</v>
      </c>
      <c r="F80" s="54">
        <v>1</v>
      </c>
      <c r="G80" s="58" t="s">
        <v>105</v>
      </c>
      <c r="H80" s="59">
        <v>2123.79</v>
      </c>
      <c r="I80" s="59">
        <f t="shared" si="66"/>
        <v>2123.79</v>
      </c>
      <c r="J80" s="59" t="s">
        <v>165</v>
      </c>
      <c r="K80" s="60">
        <v>1.53</v>
      </c>
      <c r="L80" s="59">
        <f t="shared" si="65"/>
        <v>3249.3987000000002</v>
      </c>
      <c r="M80" s="104"/>
      <c r="N80" s="104"/>
      <c r="O80" s="104"/>
      <c r="P80" s="104"/>
      <c r="Q80" s="104"/>
      <c r="R80" s="107"/>
      <c r="S80" s="107"/>
      <c r="T80" s="107"/>
      <c r="U80" s="107"/>
      <c r="V80" s="107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7"/>
      <c r="AH80" s="107"/>
      <c r="AI80" s="107"/>
      <c r="AJ80" s="107"/>
      <c r="AK80" s="107"/>
      <c r="AL80" s="107"/>
      <c r="AM80" s="104"/>
      <c r="AN80" s="104"/>
      <c r="AO80" s="104"/>
      <c r="AP80" s="104"/>
      <c r="AQ80" s="104"/>
    </row>
    <row r="81" spans="1:45" ht="44.25" customHeight="1" x14ac:dyDescent="0.3">
      <c r="A81" s="109"/>
      <c r="B81" s="116"/>
      <c r="C81" s="138"/>
      <c r="D81" s="54" t="s">
        <v>99</v>
      </c>
      <c r="E81" s="54" t="s">
        <v>38</v>
      </c>
      <c r="F81" s="54">
        <v>1</v>
      </c>
      <c r="G81" s="58" t="s">
        <v>239</v>
      </c>
      <c r="H81" s="59">
        <v>10637.53</v>
      </c>
      <c r="I81" s="59">
        <f t="shared" ref="I81:I115" si="67">F81*H81</f>
        <v>10637.53</v>
      </c>
      <c r="J81" s="59" t="s">
        <v>35</v>
      </c>
      <c r="K81" s="59" t="s">
        <v>35</v>
      </c>
      <c r="L81" s="59">
        <f>I81</f>
        <v>10637.53</v>
      </c>
      <c r="M81" s="105"/>
      <c r="N81" s="105"/>
      <c r="O81" s="105"/>
      <c r="P81" s="105"/>
      <c r="Q81" s="105"/>
      <c r="R81" s="108"/>
      <c r="S81" s="108"/>
      <c r="T81" s="108"/>
      <c r="U81" s="108"/>
      <c r="V81" s="108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8"/>
      <c r="AH81" s="108"/>
      <c r="AI81" s="108"/>
      <c r="AJ81" s="108"/>
      <c r="AK81" s="108"/>
      <c r="AL81" s="108"/>
      <c r="AM81" s="105"/>
      <c r="AN81" s="105"/>
      <c r="AO81" s="105"/>
      <c r="AP81" s="105"/>
      <c r="AQ81" s="105"/>
    </row>
    <row r="82" spans="1:45" ht="60" x14ac:dyDescent="0.3">
      <c r="A82" s="54">
        <v>19</v>
      </c>
      <c r="B82" s="32" t="s">
        <v>68</v>
      </c>
      <c r="C82" s="72" t="s">
        <v>60</v>
      </c>
      <c r="D82" s="54" t="s">
        <v>193</v>
      </c>
      <c r="E82" s="54" t="s">
        <v>36</v>
      </c>
      <c r="F82" s="54">
        <v>1</v>
      </c>
      <c r="G82" s="32" t="s">
        <v>155</v>
      </c>
      <c r="H82" s="59">
        <v>9926.0300000000007</v>
      </c>
      <c r="I82" s="59">
        <f t="shared" si="67"/>
        <v>9926.0300000000007</v>
      </c>
      <c r="J82" s="59" t="s">
        <v>175</v>
      </c>
      <c r="K82" s="60">
        <v>1.55</v>
      </c>
      <c r="L82" s="59">
        <f>I82*K82</f>
        <v>15385.346500000001</v>
      </c>
      <c r="M82" s="61">
        <f>SUM(L82:L82)</f>
        <v>15385.346500000001</v>
      </c>
      <c r="N82" s="61">
        <f>M82*0.2</f>
        <v>3077.0693000000006</v>
      </c>
      <c r="O82" s="61">
        <f>M82+N82</f>
        <v>18462.415800000002</v>
      </c>
      <c r="P82" s="61">
        <f>O82</f>
        <v>18462.415800000002</v>
      </c>
      <c r="Q82" s="61">
        <f>SUM(W82:AC82)</f>
        <v>19348.611758400002</v>
      </c>
      <c r="R82" s="68">
        <v>1.048</v>
      </c>
      <c r="S82" s="68">
        <v>1.046</v>
      </c>
      <c r="T82" s="68">
        <v>1.046</v>
      </c>
      <c r="U82" s="68">
        <v>1.046</v>
      </c>
      <c r="V82" s="68">
        <v>1.046</v>
      </c>
      <c r="W82" s="61">
        <v>0</v>
      </c>
      <c r="X82" s="61">
        <v>0</v>
      </c>
      <c r="Y82" s="61">
        <f>O82*R82</f>
        <v>19348.611758400002</v>
      </c>
      <c r="Z82" s="61">
        <v>0</v>
      </c>
      <c r="AA82" s="61">
        <v>0</v>
      </c>
      <c r="AB82" s="61">
        <v>0</v>
      </c>
      <c r="AC82" s="61">
        <v>0</v>
      </c>
      <c r="AD82" s="61">
        <f>O82</f>
        <v>18462.415800000002</v>
      </c>
      <c r="AE82" s="61">
        <f>AD82</f>
        <v>18462.415800000002</v>
      </c>
      <c r="AF82" s="61">
        <f>SUM(AM82:AQ82)</f>
        <v>21713.610297548403</v>
      </c>
      <c r="AG82" s="68">
        <v>1.091</v>
      </c>
      <c r="AH82" s="68">
        <v>1.0780000000000001</v>
      </c>
      <c r="AI82" s="68">
        <v>1.0529999999999999</v>
      </c>
      <c r="AJ82" s="68">
        <v>1.044</v>
      </c>
      <c r="AK82" s="68">
        <v>1.044</v>
      </c>
      <c r="AL82" s="68">
        <v>1.044</v>
      </c>
      <c r="AM82" s="61">
        <f>AD82*AG82*AH82</f>
        <v>21713.610297548403</v>
      </c>
      <c r="AN82" s="61">
        <v>0</v>
      </c>
      <c r="AO82" s="61">
        <v>0</v>
      </c>
      <c r="AP82" s="61">
        <v>0</v>
      </c>
      <c r="AQ82" s="61">
        <v>0</v>
      </c>
      <c r="AS82" s="57"/>
    </row>
    <row r="83" spans="1:45" ht="54" customHeight="1" x14ac:dyDescent="0.3">
      <c r="A83" s="54">
        <v>20</v>
      </c>
      <c r="B83" s="32" t="s">
        <v>254</v>
      </c>
      <c r="C83" s="72" t="s">
        <v>67</v>
      </c>
      <c r="D83" s="54" t="s">
        <v>114</v>
      </c>
      <c r="E83" s="54" t="s">
        <v>82</v>
      </c>
      <c r="F83" s="54">
        <v>10</v>
      </c>
      <c r="G83" s="58" t="s">
        <v>115</v>
      </c>
      <c r="H83" s="59">
        <v>5196.75</v>
      </c>
      <c r="I83" s="59">
        <f t="shared" si="67"/>
        <v>51967.5</v>
      </c>
      <c r="J83" s="59" t="s">
        <v>168</v>
      </c>
      <c r="K83" s="60">
        <v>1.53</v>
      </c>
      <c r="L83" s="59">
        <f t="shared" ref="L83:L84" si="68">I83*K83</f>
        <v>79510.274999999994</v>
      </c>
      <c r="M83" s="61">
        <f>SUM(L83:L83)</f>
        <v>79510.274999999994</v>
      </c>
      <c r="N83" s="61">
        <f>M83*0.2</f>
        <v>15902.055</v>
      </c>
      <c r="O83" s="61">
        <f>M83+N83</f>
        <v>95412.329999999987</v>
      </c>
      <c r="P83" s="61">
        <f>O83</f>
        <v>95412.329999999987</v>
      </c>
      <c r="Q83" s="61">
        <f>SUM(W83:AC83)</f>
        <v>109402.98037909345</v>
      </c>
      <c r="R83" s="68">
        <v>1.048</v>
      </c>
      <c r="S83" s="68">
        <v>1.046</v>
      </c>
      <c r="T83" s="68">
        <v>1.046</v>
      </c>
      <c r="U83" s="68">
        <v>1.046</v>
      </c>
      <c r="V83" s="68">
        <v>1.046</v>
      </c>
      <c r="W83" s="61">
        <v>0</v>
      </c>
      <c r="X83" s="61">
        <v>0</v>
      </c>
      <c r="Y83" s="61">
        <v>0</v>
      </c>
      <c r="Z83" s="61">
        <v>0</v>
      </c>
      <c r="AA83" s="61">
        <f>O83*R83*S83*T83</f>
        <v>109402.98037909345</v>
      </c>
      <c r="AB83" s="61">
        <v>0</v>
      </c>
      <c r="AC83" s="61">
        <v>0</v>
      </c>
      <c r="AD83" s="61">
        <f>O83</f>
        <v>95412.329999999987</v>
      </c>
      <c r="AE83" s="61">
        <f>AD83</f>
        <v>95412.329999999987</v>
      </c>
      <c r="AF83" s="61">
        <f>SUM(AM83:AQ83)</f>
        <v>123360.71641784777</v>
      </c>
      <c r="AG83" s="68">
        <v>1.091</v>
      </c>
      <c r="AH83" s="68">
        <v>1.0780000000000001</v>
      </c>
      <c r="AI83" s="68">
        <v>1.0529999999999999</v>
      </c>
      <c r="AJ83" s="68">
        <v>1.044</v>
      </c>
      <c r="AK83" s="68">
        <v>1.044</v>
      </c>
      <c r="AL83" s="68">
        <v>1.044</v>
      </c>
      <c r="AM83" s="61">
        <v>0</v>
      </c>
      <c r="AN83" s="61">
        <v>0</v>
      </c>
      <c r="AO83" s="61">
        <f>AD83*AG83*AH83*AI83*AJ83</f>
        <v>123360.71641784777</v>
      </c>
      <c r="AP83" s="61">
        <v>0</v>
      </c>
      <c r="AQ83" s="61">
        <v>0</v>
      </c>
    </row>
    <row r="84" spans="1:45" ht="72.75" customHeight="1" x14ac:dyDescent="0.3">
      <c r="A84" s="109">
        <v>21</v>
      </c>
      <c r="B84" s="116" t="s">
        <v>269</v>
      </c>
      <c r="C84" s="138" t="s">
        <v>67</v>
      </c>
      <c r="D84" s="54" t="s">
        <v>162</v>
      </c>
      <c r="E84" s="54" t="s">
        <v>82</v>
      </c>
      <c r="F84" s="54">
        <v>2</v>
      </c>
      <c r="G84" s="58" t="s">
        <v>174</v>
      </c>
      <c r="H84" s="59">
        <v>2409.41</v>
      </c>
      <c r="I84" s="59">
        <f t="shared" si="67"/>
        <v>4818.82</v>
      </c>
      <c r="J84" s="59" t="s">
        <v>165</v>
      </c>
      <c r="K84" s="60">
        <v>1.44</v>
      </c>
      <c r="L84" s="59">
        <f t="shared" si="68"/>
        <v>6939.1007999999993</v>
      </c>
      <c r="M84" s="103">
        <f>SUM(L84:L86)</f>
        <v>20536.862399999998</v>
      </c>
      <c r="N84" s="103">
        <f>M84*0.2</f>
        <v>4107.37248</v>
      </c>
      <c r="O84" s="103">
        <f>M84+N84</f>
        <v>24644.234879999996</v>
      </c>
      <c r="P84" s="103">
        <f>O84</f>
        <v>24644.234879999996</v>
      </c>
      <c r="Q84" s="103">
        <f>SUM(W84:AC86)</f>
        <v>30917.428143575042</v>
      </c>
      <c r="R84" s="106">
        <v>1.048</v>
      </c>
      <c r="S84" s="106">
        <v>1.046</v>
      </c>
      <c r="T84" s="106">
        <v>1.046</v>
      </c>
      <c r="U84" s="106">
        <v>1.046</v>
      </c>
      <c r="V84" s="106">
        <v>1.046</v>
      </c>
      <c r="W84" s="103">
        <v>0</v>
      </c>
      <c r="X84" s="103">
        <v>0</v>
      </c>
      <c r="Y84" s="103">
        <v>0</v>
      </c>
      <c r="Z84" s="103">
        <v>0</v>
      </c>
      <c r="AA84" s="103">
        <v>0</v>
      </c>
      <c r="AB84" s="103">
        <v>0</v>
      </c>
      <c r="AC84" s="103">
        <f>O84*R84*S84*T84*U84*V84</f>
        <v>30917.428143575042</v>
      </c>
      <c r="AD84" s="103">
        <f>O84</f>
        <v>24644.234879999996</v>
      </c>
      <c r="AE84" s="103">
        <f>AD84</f>
        <v>24644.234879999996</v>
      </c>
      <c r="AF84" s="103">
        <f>SUM(AM84:AQ86)</f>
        <v>34728.71529653867</v>
      </c>
      <c r="AG84" s="106">
        <v>1.091</v>
      </c>
      <c r="AH84" s="106">
        <v>1.0780000000000001</v>
      </c>
      <c r="AI84" s="106">
        <v>1.0529999999999999</v>
      </c>
      <c r="AJ84" s="106">
        <v>1.044</v>
      </c>
      <c r="AK84" s="106">
        <v>1.044</v>
      </c>
      <c r="AL84" s="106">
        <v>1.044</v>
      </c>
      <c r="AM84" s="103">
        <v>0</v>
      </c>
      <c r="AN84" s="103">
        <v>0</v>
      </c>
      <c r="AO84" s="103">
        <v>0</v>
      </c>
      <c r="AP84" s="103">
        <v>0</v>
      </c>
      <c r="AQ84" s="103">
        <f>AD84*AG84*AH84*AI84*AJ84*AK84*AL84</f>
        <v>34728.71529653867</v>
      </c>
    </row>
    <row r="85" spans="1:45" ht="54.75" customHeight="1" x14ac:dyDescent="0.3">
      <c r="A85" s="109"/>
      <c r="B85" s="116"/>
      <c r="C85" s="138"/>
      <c r="D85" s="54" t="s">
        <v>190</v>
      </c>
      <c r="E85" s="54" t="s">
        <v>82</v>
      </c>
      <c r="F85" s="54">
        <v>1</v>
      </c>
      <c r="G85" s="58" t="s">
        <v>191</v>
      </c>
      <c r="H85" s="59">
        <v>2968.44</v>
      </c>
      <c r="I85" s="59">
        <f t="shared" ref="I85" si="69">F85*H85</f>
        <v>2968.44</v>
      </c>
      <c r="J85" s="59" t="s">
        <v>165</v>
      </c>
      <c r="K85" s="60">
        <v>1.44</v>
      </c>
      <c r="L85" s="59">
        <f t="shared" ref="L85" si="70">I85*K85</f>
        <v>4274.5536000000002</v>
      </c>
      <c r="M85" s="104"/>
      <c r="N85" s="104"/>
      <c r="O85" s="104"/>
      <c r="P85" s="104"/>
      <c r="Q85" s="104"/>
      <c r="R85" s="107"/>
      <c r="S85" s="107"/>
      <c r="T85" s="107"/>
      <c r="U85" s="107"/>
      <c r="V85" s="107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7"/>
      <c r="AH85" s="107"/>
      <c r="AI85" s="107"/>
      <c r="AJ85" s="107"/>
      <c r="AK85" s="107"/>
      <c r="AL85" s="107"/>
      <c r="AM85" s="104"/>
      <c r="AN85" s="104"/>
      <c r="AO85" s="104"/>
      <c r="AP85" s="104"/>
      <c r="AQ85" s="104"/>
    </row>
    <row r="86" spans="1:45" ht="54.75" customHeight="1" x14ac:dyDescent="0.3">
      <c r="A86" s="109"/>
      <c r="B86" s="116"/>
      <c r="C86" s="138"/>
      <c r="D86" s="54" t="s">
        <v>189</v>
      </c>
      <c r="E86" s="54" t="s">
        <v>82</v>
      </c>
      <c r="F86" s="54">
        <v>120</v>
      </c>
      <c r="G86" s="58" t="s">
        <v>116</v>
      </c>
      <c r="H86" s="59">
        <v>50.78</v>
      </c>
      <c r="I86" s="59">
        <f>F86*H86</f>
        <v>6093.6</v>
      </c>
      <c r="J86" s="59" t="s">
        <v>165</v>
      </c>
      <c r="K86" s="60">
        <v>1.53</v>
      </c>
      <c r="L86" s="59">
        <f t="shared" ref="L86" si="71">I86*K86</f>
        <v>9323.2080000000005</v>
      </c>
      <c r="M86" s="104"/>
      <c r="N86" s="104"/>
      <c r="O86" s="104"/>
      <c r="P86" s="105"/>
      <c r="Q86" s="105"/>
      <c r="R86" s="107"/>
      <c r="S86" s="107"/>
      <c r="T86" s="107"/>
      <c r="U86" s="107"/>
      <c r="V86" s="107"/>
      <c r="W86" s="104"/>
      <c r="X86" s="104"/>
      <c r="Y86" s="104"/>
      <c r="Z86" s="104"/>
      <c r="AA86" s="104"/>
      <c r="AB86" s="104"/>
      <c r="AC86" s="104"/>
      <c r="AD86" s="104"/>
      <c r="AE86" s="105"/>
      <c r="AF86" s="105"/>
      <c r="AG86" s="107"/>
      <c r="AH86" s="107"/>
      <c r="AI86" s="107"/>
      <c r="AJ86" s="107"/>
      <c r="AK86" s="107"/>
      <c r="AL86" s="107"/>
      <c r="AM86" s="104"/>
      <c r="AN86" s="104"/>
      <c r="AO86" s="104"/>
      <c r="AP86" s="104"/>
      <c r="AQ86" s="104"/>
    </row>
    <row r="87" spans="1:45" ht="78.75" customHeight="1" x14ac:dyDescent="0.3">
      <c r="A87" s="54">
        <v>22</v>
      </c>
      <c r="B87" s="32" t="s">
        <v>69</v>
      </c>
      <c r="C87" s="72" t="s">
        <v>60</v>
      </c>
      <c r="D87" s="54" t="s">
        <v>154</v>
      </c>
      <c r="E87" s="54" t="s">
        <v>36</v>
      </c>
      <c r="F87" s="54">
        <v>1</v>
      </c>
      <c r="G87" s="32" t="s">
        <v>117</v>
      </c>
      <c r="H87" s="59">
        <v>45019.29</v>
      </c>
      <c r="I87" s="59">
        <f t="shared" ref="I87" si="72">F87*H87</f>
        <v>45019.29</v>
      </c>
      <c r="J87" s="59" t="s">
        <v>192</v>
      </c>
      <c r="K87" s="60">
        <v>1.44</v>
      </c>
      <c r="L87" s="59">
        <f t="shared" ref="L87:L93" si="73">I87*K87</f>
        <v>64827.777600000001</v>
      </c>
      <c r="M87" s="61">
        <f>SUM(L87:L87)</f>
        <v>64827.777600000001</v>
      </c>
      <c r="N87" s="61">
        <f>M87*0.2</f>
        <v>12965.555520000002</v>
      </c>
      <c r="O87" s="61">
        <f>M87+N87</f>
        <v>77793.333119999996</v>
      </c>
      <c r="P87" s="61">
        <f>O87</f>
        <v>77793.333119999996</v>
      </c>
      <c r="Q87" s="61">
        <f>SUM(W87:AC87)</f>
        <v>93303.667689610098</v>
      </c>
      <c r="R87" s="68">
        <v>1.048</v>
      </c>
      <c r="S87" s="68">
        <v>1.046</v>
      </c>
      <c r="T87" s="68">
        <v>1.046</v>
      </c>
      <c r="U87" s="68">
        <v>1.046</v>
      </c>
      <c r="V87" s="68">
        <v>1.046</v>
      </c>
      <c r="W87" s="61">
        <v>0</v>
      </c>
      <c r="X87" s="61">
        <v>0</v>
      </c>
      <c r="Y87" s="61">
        <v>0</v>
      </c>
      <c r="Z87" s="61">
        <v>0</v>
      </c>
      <c r="AA87" s="61">
        <v>0</v>
      </c>
      <c r="AB87" s="61">
        <f>O87*R87*S87*T87*U87</f>
        <v>93303.667689610098</v>
      </c>
      <c r="AC87" s="61">
        <v>0</v>
      </c>
      <c r="AD87" s="61">
        <f>O87</f>
        <v>77793.333119999996</v>
      </c>
      <c r="AE87" s="61">
        <f>AD87</f>
        <v>77793.333119999996</v>
      </c>
      <c r="AF87" s="61">
        <f>SUM(AM87:AQ87)</f>
        <v>105006.27669074814</v>
      </c>
      <c r="AG87" s="68">
        <v>1.091</v>
      </c>
      <c r="AH87" s="68">
        <v>1.0780000000000001</v>
      </c>
      <c r="AI87" s="68">
        <v>1.0529999999999999</v>
      </c>
      <c r="AJ87" s="68">
        <v>1.044</v>
      </c>
      <c r="AK87" s="68">
        <v>1.044</v>
      </c>
      <c r="AL87" s="68">
        <v>1.044</v>
      </c>
      <c r="AM87" s="61">
        <v>0</v>
      </c>
      <c r="AN87" s="61">
        <v>0</v>
      </c>
      <c r="AO87" s="61">
        <v>0</v>
      </c>
      <c r="AP87" s="61">
        <f>AD87*AG87*AH87*AI87*AJ87*AK87</f>
        <v>105006.27669074814</v>
      </c>
      <c r="AQ87" s="61">
        <v>0</v>
      </c>
      <c r="AS87" s="57"/>
    </row>
    <row r="88" spans="1:45" ht="100.5" customHeight="1" x14ac:dyDescent="0.3">
      <c r="A88" s="54">
        <v>23</v>
      </c>
      <c r="B88" s="32" t="s">
        <v>70</v>
      </c>
      <c r="C88" s="72" t="s">
        <v>60</v>
      </c>
      <c r="D88" s="54" t="s">
        <v>118</v>
      </c>
      <c r="E88" s="54" t="s">
        <v>36</v>
      </c>
      <c r="F88" s="54">
        <v>1</v>
      </c>
      <c r="G88" s="32" t="s">
        <v>119</v>
      </c>
      <c r="H88" s="59">
        <v>40047.11</v>
      </c>
      <c r="I88" s="59">
        <f t="shared" ref="I88" si="74">F88*H88</f>
        <v>40047.11</v>
      </c>
      <c r="J88" s="59" t="s">
        <v>192</v>
      </c>
      <c r="K88" s="60">
        <v>1.44</v>
      </c>
      <c r="L88" s="59">
        <f>I88*K88</f>
        <v>57667.838400000001</v>
      </c>
      <c r="M88" s="61">
        <f>SUM(L88:L88)</f>
        <v>57667.838400000001</v>
      </c>
      <c r="N88" s="61">
        <f>M88*0.2</f>
        <v>11533.56768</v>
      </c>
      <c r="O88" s="61">
        <f>M88+N88</f>
        <v>69201.406080000001</v>
      </c>
      <c r="P88" s="61">
        <f>O88</f>
        <v>69201.406080000001</v>
      </c>
      <c r="Q88" s="61">
        <f>SUM(W88:AC88)</f>
        <v>86816.633193554313</v>
      </c>
      <c r="R88" s="68">
        <v>1.048</v>
      </c>
      <c r="S88" s="68">
        <v>1.046</v>
      </c>
      <c r="T88" s="68">
        <v>1.046</v>
      </c>
      <c r="U88" s="68">
        <v>1.046</v>
      </c>
      <c r="V88" s="68">
        <v>1.046</v>
      </c>
      <c r="W88" s="61">
        <v>0</v>
      </c>
      <c r="X88" s="61">
        <v>0</v>
      </c>
      <c r="Y88" s="61">
        <v>0</v>
      </c>
      <c r="Z88" s="61">
        <v>0</v>
      </c>
      <c r="AA88" s="61">
        <v>0</v>
      </c>
      <c r="AB88" s="61">
        <v>0</v>
      </c>
      <c r="AC88" s="61">
        <f>O88*R88*S88*T88*U88*V88</f>
        <v>86816.633193554313</v>
      </c>
      <c r="AD88" s="61">
        <f>O88</f>
        <v>69201.406080000001</v>
      </c>
      <c r="AE88" s="61">
        <f>AD88</f>
        <v>69201.406080000001</v>
      </c>
      <c r="AF88" s="61">
        <f>SUM(AM88:AQ88)</f>
        <v>97518.788535117215</v>
      </c>
      <c r="AG88" s="68">
        <v>1.091</v>
      </c>
      <c r="AH88" s="68">
        <v>1.0780000000000001</v>
      </c>
      <c r="AI88" s="68">
        <v>1.0529999999999999</v>
      </c>
      <c r="AJ88" s="68">
        <v>1.044</v>
      </c>
      <c r="AK88" s="68">
        <v>1.044</v>
      </c>
      <c r="AL88" s="68">
        <v>1.044</v>
      </c>
      <c r="AM88" s="61">
        <v>0</v>
      </c>
      <c r="AN88" s="61">
        <v>0</v>
      </c>
      <c r="AO88" s="61">
        <v>0</v>
      </c>
      <c r="AP88" s="61">
        <v>0</v>
      </c>
      <c r="AQ88" s="61">
        <f>AD88*AG88*AH88*AI88*AJ88*AK88*AL88</f>
        <v>97518.788535117215</v>
      </c>
      <c r="AS88" s="57"/>
    </row>
    <row r="89" spans="1:45" ht="78" customHeight="1" x14ac:dyDescent="0.3">
      <c r="A89" s="54">
        <v>24</v>
      </c>
      <c r="B89" s="32" t="s">
        <v>71</v>
      </c>
      <c r="C89" s="72" t="s">
        <v>60</v>
      </c>
      <c r="D89" s="54" t="s">
        <v>118</v>
      </c>
      <c r="E89" s="54" t="s">
        <v>36</v>
      </c>
      <c r="F89" s="54">
        <v>1</v>
      </c>
      <c r="G89" s="32" t="s">
        <v>119</v>
      </c>
      <c r="H89" s="59">
        <v>40047.11</v>
      </c>
      <c r="I89" s="59">
        <f t="shared" ref="I89" si="75">F89*H89</f>
        <v>40047.11</v>
      </c>
      <c r="J89" s="59" t="s">
        <v>192</v>
      </c>
      <c r="K89" s="60">
        <v>1.44</v>
      </c>
      <c r="L89" s="59">
        <f>I89*K89</f>
        <v>57667.838400000001</v>
      </c>
      <c r="M89" s="61">
        <f>SUM(L89:L89)</f>
        <v>57667.838400000001</v>
      </c>
      <c r="N89" s="61">
        <f>M89*0.2</f>
        <v>11533.56768</v>
      </c>
      <c r="O89" s="61">
        <f>M89+N89</f>
        <v>69201.406080000001</v>
      </c>
      <c r="P89" s="61">
        <f>O89</f>
        <v>69201.406080000001</v>
      </c>
      <c r="Q89" s="61">
        <f>SUM(W89:AC89)</f>
        <v>86816.633193554313</v>
      </c>
      <c r="R89" s="68">
        <v>1.048</v>
      </c>
      <c r="S89" s="68">
        <v>1.046</v>
      </c>
      <c r="T89" s="68">
        <v>1.046</v>
      </c>
      <c r="U89" s="68">
        <v>1.046</v>
      </c>
      <c r="V89" s="68">
        <v>1.046</v>
      </c>
      <c r="W89" s="61">
        <v>0</v>
      </c>
      <c r="X89" s="61">
        <v>0</v>
      </c>
      <c r="Y89" s="61">
        <v>0</v>
      </c>
      <c r="Z89" s="61">
        <v>0</v>
      </c>
      <c r="AA89" s="61">
        <v>0</v>
      </c>
      <c r="AB89" s="61">
        <v>0</v>
      </c>
      <c r="AC89" s="61">
        <f>O89*R89*S89*T89*U89*V89</f>
        <v>86816.633193554313</v>
      </c>
      <c r="AD89" s="61">
        <f>O89</f>
        <v>69201.406080000001</v>
      </c>
      <c r="AE89" s="61">
        <f>AD89</f>
        <v>69201.406080000001</v>
      </c>
      <c r="AF89" s="61">
        <f>SUM(AM89:AQ89)</f>
        <v>97518.788535117215</v>
      </c>
      <c r="AG89" s="68">
        <v>1.091</v>
      </c>
      <c r="AH89" s="68">
        <v>1.0780000000000001</v>
      </c>
      <c r="AI89" s="68">
        <v>1.0529999999999999</v>
      </c>
      <c r="AJ89" s="68">
        <v>1.044</v>
      </c>
      <c r="AK89" s="68">
        <v>1.044</v>
      </c>
      <c r="AL89" s="68">
        <v>1.044</v>
      </c>
      <c r="AM89" s="61">
        <v>0</v>
      </c>
      <c r="AN89" s="61">
        <v>0</v>
      </c>
      <c r="AO89" s="61">
        <v>0</v>
      </c>
      <c r="AP89" s="61">
        <v>0</v>
      </c>
      <c r="AQ89" s="61">
        <f>AD89*AG89*AH89*AI89*AJ89*AK89*AL89</f>
        <v>97518.788535117215</v>
      </c>
      <c r="AS89" s="57"/>
    </row>
    <row r="90" spans="1:45" ht="31.5" customHeight="1" x14ac:dyDescent="0.3">
      <c r="A90" s="109">
        <v>25</v>
      </c>
      <c r="B90" s="116" t="s">
        <v>157</v>
      </c>
      <c r="C90" s="138" t="s">
        <v>61</v>
      </c>
      <c r="D90" s="54" t="s">
        <v>122</v>
      </c>
      <c r="E90" s="54" t="s">
        <v>36</v>
      </c>
      <c r="F90" s="54">
        <v>1</v>
      </c>
      <c r="G90" s="32" t="s">
        <v>37</v>
      </c>
      <c r="H90" s="59">
        <v>2246.6999999999998</v>
      </c>
      <c r="I90" s="59">
        <f t="shared" si="67"/>
        <v>2246.6999999999998</v>
      </c>
      <c r="J90" s="59" t="s">
        <v>165</v>
      </c>
      <c r="K90" s="60">
        <v>1.44</v>
      </c>
      <c r="L90" s="59">
        <f t="shared" si="73"/>
        <v>3235.2479999999996</v>
      </c>
      <c r="M90" s="103">
        <f>SUM(L90:L95)</f>
        <v>23294.395516799999</v>
      </c>
      <c r="N90" s="103">
        <f>M90*0.2</f>
        <v>4658.87910336</v>
      </c>
      <c r="O90" s="103">
        <f>M90+N90</f>
        <v>27953.274620159998</v>
      </c>
      <c r="P90" s="103">
        <f>O90</f>
        <v>27953.274620159998</v>
      </c>
      <c r="Q90" s="103">
        <f>SUM(W90:AC95)</f>
        <v>29295.031801927678</v>
      </c>
      <c r="R90" s="106">
        <v>1.048</v>
      </c>
      <c r="S90" s="106">
        <v>1.046</v>
      </c>
      <c r="T90" s="106">
        <v>1.046</v>
      </c>
      <c r="U90" s="106">
        <v>1.046</v>
      </c>
      <c r="V90" s="106">
        <v>1.046</v>
      </c>
      <c r="W90" s="103">
        <v>0</v>
      </c>
      <c r="X90" s="103">
        <v>0</v>
      </c>
      <c r="Y90" s="103">
        <f>O90*R90</f>
        <v>29295.031801927678</v>
      </c>
      <c r="Z90" s="103">
        <v>0</v>
      </c>
      <c r="AA90" s="103">
        <v>0</v>
      </c>
      <c r="AB90" s="103">
        <v>0</v>
      </c>
      <c r="AC90" s="103">
        <v>0</v>
      </c>
      <c r="AD90" s="103">
        <v>0</v>
      </c>
      <c r="AE90" s="103">
        <f>AD90</f>
        <v>0</v>
      </c>
      <c r="AF90" s="103">
        <f>SUM(AM90:AQ95)</f>
        <v>0</v>
      </c>
      <c r="AG90" s="106">
        <v>0</v>
      </c>
      <c r="AH90" s="106">
        <v>0</v>
      </c>
      <c r="AI90" s="106">
        <v>0</v>
      </c>
      <c r="AJ90" s="106">
        <v>0</v>
      </c>
      <c r="AK90" s="106">
        <v>0</v>
      </c>
      <c r="AL90" s="106">
        <v>0</v>
      </c>
      <c r="AM90" s="103">
        <f>AD90*AH90</f>
        <v>0</v>
      </c>
      <c r="AN90" s="103">
        <v>0</v>
      </c>
      <c r="AO90" s="103">
        <v>0</v>
      </c>
      <c r="AP90" s="103">
        <v>0</v>
      </c>
      <c r="AQ90" s="103">
        <v>0</v>
      </c>
      <c r="AS90" s="57"/>
    </row>
    <row r="91" spans="1:45" ht="78" customHeight="1" x14ac:dyDescent="0.3">
      <c r="A91" s="109"/>
      <c r="B91" s="116"/>
      <c r="C91" s="138"/>
      <c r="D91" s="54" t="s">
        <v>39</v>
      </c>
      <c r="E91" s="54" t="s">
        <v>33</v>
      </c>
      <c r="F91" s="54">
        <v>2.1360000000000001</v>
      </c>
      <c r="G91" s="58" t="s">
        <v>40</v>
      </c>
      <c r="H91" s="59">
        <v>1262.83</v>
      </c>
      <c r="I91" s="59">
        <f t="shared" si="67"/>
        <v>2697.40488</v>
      </c>
      <c r="J91" s="59" t="s">
        <v>194</v>
      </c>
      <c r="K91" s="60">
        <v>1.1100000000000001</v>
      </c>
      <c r="L91" s="59">
        <f>I91*K91</f>
        <v>2994.1194168000002</v>
      </c>
      <c r="M91" s="104"/>
      <c r="N91" s="104"/>
      <c r="O91" s="104"/>
      <c r="P91" s="104"/>
      <c r="Q91" s="104"/>
      <c r="R91" s="107"/>
      <c r="S91" s="107"/>
      <c r="T91" s="107"/>
      <c r="U91" s="107"/>
      <c r="V91" s="107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7"/>
      <c r="AH91" s="107"/>
      <c r="AI91" s="107"/>
      <c r="AJ91" s="107"/>
      <c r="AK91" s="107"/>
      <c r="AL91" s="107"/>
      <c r="AM91" s="104"/>
      <c r="AN91" s="104"/>
      <c r="AO91" s="104"/>
      <c r="AP91" s="104"/>
      <c r="AQ91" s="104"/>
      <c r="AS91" s="57"/>
    </row>
    <row r="92" spans="1:45" ht="66" customHeight="1" x14ac:dyDescent="0.3">
      <c r="A92" s="109"/>
      <c r="B92" s="116"/>
      <c r="C92" s="138"/>
      <c r="D92" s="54" t="s">
        <v>41</v>
      </c>
      <c r="E92" s="54" t="s">
        <v>42</v>
      </c>
      <c r="F92" s="54">
        <v>104.2</v>
      </c>
      <c r="G92" s="58" t="s">
        <v>43</v>
      </c>
      <c r="H92" s="59">
        <v>24.86</v>
      </c>
      <c r="I92" s="59">
        <f t="shared" si="67"/>
        <v>2590.4119999999998</v>
      </c>
      <c r="J92" s="59" t="s">
        <v>194</v>
      </c>
      <c r="K92" s="60">
        <v>1.1100000000000001</v>
      </c>
      <c r="L92" s="59">
        <f>I92*K92</f>
        <v>2875.3573200000001</v>
      </c>
      <c r="M92" s="104"/>
      <c r="N92" s="104"/>
      <c r="O92" s="104"/>
      <c r="P92" s="104"/>
      <c r="Q92" s="104"/>
      <c r="R92" s="107"/>
      <c r="S92" s="107"/>
      <c r="T92" s="107"/>
      <c r="U92" s="107"/>
      <c r="V92" s="107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7"/>
      <c r="AH92" s="107"/>
      <c r="AI92" s="107"/>
      <c r="AJ92" s="107"/>
      <c r="AK92" s="107"/>
      <c r="AL92" s="107"/>
      <c r="AM92" s="104"/>
      <c r="AN92" s="104"/>
      <c r="AO92" s="104"/>
      <c r="AP92" s="104"/>
      <c r="AQ92" s="104"/>
    </row>
    <row r="93" spans="1:45" ht="65.25" customHeight="1" x14ac:dyDescent="0.3">
      <c r="A93" s="109"/>
      <c r="B93" s="116"/>
      <c r="C93" s="138"/>
      <c r="D93" s="54" t="s">
        <v>45</v>
      </c>
      <c r="E93" s="54" t="s">
        <v>33</v>
      </c>
      <c r="F93" s="54">
        <v>7.7249999999999996</v>
      </c>
      <c r="G93" s="58" t="s">
        <v>46</v>
      </c>
      <c r="H93" s="59">
        <v>1529.52</v>
      </c>
      <c r="I93" s="59">
        <f t="shared" si="67"/>
        <v>11815.541999999999</v>
      </c>
      <c r="J93" s="59" t="s">
        <v>195</v>
      </c>
      <c r="K93" s="60">
        <v>1.0900000000000001</v>
      </c>
      <c r="L93" s="59">
        <f t="shared" si="73"/>
        <v>12878.940780000001</v>
      </c>
      <c r="M93" s="104"/>
      <c r="N93" s="104"/>
      <c r="O93" s="104"/>
      <c r="P93" s="104"/>
      <c r="Q93" s="104"/>
      <c r="R93" s="107"/>
      <c r="S93" s="107"/>
      <c r="T93" s="107"/>
      <c r="U93" s="107"/>
      <c r="V93" s="107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7"/>
      <c r="AH93" s="107"/>
      <c r="AI93" s="107"/>
      <c r="AJ93" s="107"/>
      <c r="AK93" s="107"/>
      <c r="AL93" s="107"/>
      <c r="AM93" s="104"/>
      <c r="AN93" s="104"/>
      <c r="AO93" s="104"/>
      <c r="AP93" s="104"/>
      <c r="AQ93" s="104"/>
    </row>
    <row r="94" spans="1:45" ht="88.5" customHeight="1" x14ac:dyDescent="0.3">
      <c r="A94" s="109"/>
      <c r="B94" s="116"/>
      <c r="C94" s="138"/>
      <c r="D94" s="54" t="s">
        <v>196</v>
      </c>
      <c r="E94" s="54" t="s">
        <v>44</v>
      </c>
      <c r="F94" s="54">
        <v>1.45</v>
      </c>
      <c r="G94" s="58" t="s">
        <v>197</v>
      </c>
      <c r="H94" s="59">
        <v>355.2</v>
      </c>
      <c r="I94" s="59">
        <f>F94*H94</f>
        <v>515.04</v>
      </c>
      <c r="J94" s="59" t="s">
        <v>35</v>
      </c>
      <c r="K94" s="60" t="s">
        <v>35</v>
      </c>
      <c r="L94" s="59">
        <f>I94</f>
        <v>515.04</v>
      </c>
      <c r="M94" s="104"/>
      <c r="N94" s="104"/>
      <c r="O94" s="104"/>
      <c r="P94" s="104"/>
      <c r="Q94" s="104"/>
      <c r="R94" s="107"/>
      <c r="S94" s="107"/>
      <c r="T94" s="107"/>
      <c r="U94" s="107"/>
      <c r="V94" s="107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7"/>
      <c r="AH94" s="107"/>
      <c r="AI94" s="107"/>
      <c r="AJ94" s="107"/>
      <c r="AK94" s="107"/>
      <c r="AL94" s="107"/>
      <c r="AM94" s="104"/>
      <c r="AN94" s="104"/>
      <c r="AO94" s="104"/>
      <c r="AP94" s="104"/>
      <c r="AQ94" s="104"/>
    </row>
    <row r="95" spans="1:45" ht="44.25" customHeight="1" x14ac:dyDescent="0.3">
      <c r="A95" s="109"/>
      <c r="B95" s="116"/>
      <c r="C95" s="138"/>
      <c r="D95" s="54" t="s">
        <v>120</v>
      </c>
      <c r="E95" s="54" t="s">
        <v>38</v>
      </c>
      <c r="F95" s="54">
        <v>1</v>
      </c>
      <c r="G95" s="58" t="s">
        <v>121</v>
      </c>
      <c r="H95" s="59">
        <v>795.69</v>
      </c>
      <c r="I95" s="59">
        <f t="shared" si="67"/>
        <v>795.69</v>
      </c>
      <c r="J95" s="59" t="s">
        <v>35</v>
      </c>
      <c r="K95" s="59" t="s">
        <v>35</v>
      </c>
      <c r="L95" s="59">
        <f>I95</f>
        <v>795.69</v>
      </c>
      <c r="M95" s="105"/>
      <c r="N95" s="105"/>
      <c r="O95" s="105"/>
      <c r="P95" s="105"/>
      <c r="Q95" s="105"/>
      <c r="R95" s="108"/>
      <c r="S95" s="108"/>
      <c r="T95" s="108"/>
      <c r="U95" s="108"/>
      <c r="V95" s="108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8"/>
      <c r="AH95" s="108"/>
      <c r="AI95" s="108"/>
      <c r="AJ95" s="108"/>
      <c r="AK95" s="108"/>
      <c r="AL95" s="108"/>
      <c r="AM95" s="105"/>
      <c r="AN95" s="105"/>
      <c r="AO95" s="105"/>
      <c r="AP95" s="105"/>
      <c r="AQ95" s="105"/>
    </row>
    <row r="96" spans="1:45" ht="55.5" customHeight="1" x14ac:dyDescent="0.3">
      <c r="A96" s="109">
        <v>26</v>
      </c>
      <c r="B96" s="116" t="s">
        <v>270</v>
      </c>
      <c r="C96" s="138" t="s">
        <v>72</v>
      </c>
      <c r="D96" s="54" t="s">
        <v>123</v>
      </c>
      <c r="E96" s="54" t="s">
        <v>33</v>
      </c>
      <c r="F96" s="54">
        <v>0.73499999999999999</v>
      </c>
      <c r="G96" s="32" t="s">
        <v>124</v>
      </c>
      <c r="H96" s="59">
        <v>1726.47</v>
      </c>
      <c r="I96" s="59">
        <f>F96*H96</f>
        <v>1268.9554499999999</v>
      </c>
      <c r="J96" s="59" t="s">
        <v>198</v>
      </c>
      <c r="K96" s="60">
        <v>1.59</v>
      </c>
      <c r="L96" s="59">
        <f>I96*K96</f>
        <v>2017.6391655</v>
      </c>
      <c r="M96" s="103">
        <f>SUM(L96:L101)</f>
        <v>17592.294709000002</v>
      </c>
      <c r="N96" s="103">
        <f>M96*0.2</f>
        <v>3518.4589418000005</v>
      </c>
      <c r="O96" s="103">
        <f>M96+N96</f>
        <v>21110.753650800001</v>
      </c>
      <c r="P96" s="103">
        <f>O96</f>
        <v>21110.753650800001</v>
      </c>
      <c r="Q96" s="103">
        <f>SUM(W96:AC101)</f>
        <v>26484.498797932392</v>
      </c>
      <c r="R96" s="106">
        <v>1.048</v>
      </c>
      <c r="S96" s="106">
        <v>1.046</v>
      </c>
      <c r="T96" s="106">
        <v>1.046</v>
      </c>
      <c r="U96" s="106">
        <v>1.046</v>
      </c>
      <c r="V96" s="106">
        <v>1.046</v>
      </c>
      <c r="W96" s="103">
        <v>0</v>
      </c>
      <c r="X96" s="103">
        <v>0</v>
      </c>
      <c r="Y96" s="103">
        <v>0</v>
      </c>
      <c r="Z96" s="103">
        <v>0</v>
      </c>
      <c r="AA96" s="103">
        <v>0</v>
      </c>
      <c r="AB96" s="103">
        <v>0</v>
      </c>
      <c r="AC96" s="103">
        <f>O96*R96*S96*T96*U96*V96</f>
        <v>26484.498797932392</v>
      </c>
      <c r="AD96" s="103">
        <f>O96</f>
        <v>21110.753650800001</v>
      </c>
      <c r="AE96" s="103">
        <f>AD96</f>
        <v>21110.753650800001</v>
      </c>
      <c r="AF96" s="103">
        <f>SUM(AM96:AQ101)</f>
        <v>29749.325016739887</v>
      </c>
      <c r="AG96" s="106">
        <v>1.091</v>
      </c>
      <c r="AH96" s="106">
        <v>1.0780000000000001</v>
      </c>
      <c r="AI96" s="106">
        <v>1.0529999999999999</v>
      </c>
      <c r="AJ96" s="106">
        <v>1.044</v>
      </c>
      <c r="AK96" s="106">
        <v>1.044</v>
      </c>
      <c r="AL96" s="106">
        <v>1.044</v>
      </c>
      <c r="AM96" s="103">
        <v>0</v>
      </c>
      <c r="AN96" s="103">
        <v>0</v>
      </c>
      <c r="AO96" s="103">
        <v>0</v>
      </c>
      <c r="AP96" s="103">
        <v>0</v>
      </c>
      <c r="AQ96" s="103">
        <f>AD96*AG96*AH96*AI96*AJ96*AK96*AL96</f>
        <v>29749.325016739887</v>
      </c>
    </row>
    <row r="97" spans="1:43" ht="57" customHeight="1" x14ac:dyDescent="0.3">
      <c r="A97" s="109"/>
      <c r="B97" s="116"/>
      <c r="C97" s="138"/>
      <c r="D97" s="54" t="s">
        <v>125</v>
      </c>
      <c r="E97" s="54" t="s">
        <v>33</v>
      </c>
      <c r="F97" s="54">
        <v>0.48499999999999999</v>
      </c>
      <c r="G97" s="32" t="s">
        <v>126</v>
      </c>
      <c r="H97" s="59">
        <v>2644.01</v>
      </c>
      <c r="I97" s="59">
        <f t="shared" ref="I97" si="76">F97*H97</f>
        <v>1282.3448500000002</v>
      </c>
      <c r="J97" s="59" t="s">
        <v>198</v>
      </c>
      <c r="K97" s="60">
        <v>1.59</v>
      </c>
      <c r="L97" s="59">
        <f>I97*K97</f>
        <v>2038.9283115000003</v>
      </c>
      <c r="M97" s="104"/>
      <c r="N97" s="104"/>
      <c r="O97" s="104"/>
      <c r="P97" s="104"/>
      <c r="Q97" s="104"/>
      <c r="R97" s="107"/>
      <c r="S97" s="107"/>
      <c r="T97" s="107"/>
      <c r="U97" s="107"/>
      <c r="V97" s="107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7"/>
      <c r="AH97" s="107"/>
      <c r="AI97" s="107"/>
      <c r="AJ97" s="107"/>
      <c r="AK97" s="107"/>
      <c r="AL97" s="107"/>
      <c r="AM97" s="104"/>
      <c r="AN97" s="104"/>
      <c r="AO97" s="104"/>
      <c r="AP97" s="104"/>
      <c r="AQ97" s="104"/>
    </row>
    <row r="98" spans="1:43" ht="49.5" customHeight="1" x14ac:dyDescent="0.3">
      <c r="A98" s="109"/>
      <c r="B98" s="116"/>
      <c r="C98" s="138"/>
      <c r="D98" s="54" t="s">
        <v>127</v>
      </c>
      <c r="E98" s="54" t="s">
        <v>33</v>
      </c>
      <c r="F98" s="54">
        <v>0.39500000000000002</v>
      </c>
      <c r="G98" s="32" t="s">
        <v>128</v>
      </c>
      <c r="H98" s="59">
        <v>3030.24</v>
      </c>
      <c r="I98" s="59">
        <f t="shared" ref="I98" si="77">F98*H98</f>
        <v>1196.9448</v>
      </c>
      <c r="J98" s="59" t="s">
        <v>198</v>
      </c>
      <c r="K98" s="60">
        <v>1.59</v>
      </c>
      <c r="L98" s="59">
        <f>I98*K98</f>
        <v>1903.1422320000001</v>
      </c>
      <c r="M98" s="104"/>
      <c r="N98" s="104"/>
      <c r="O98" s="104"/>
      <c r="P98" s="104"/>
      <c r="Q98" s="104"/>
      <c r="R98" s="107"/>
      <c r="S98" s="107"/>
      <c r="T98" s="107"/>
      <c r="U98" s="107"/>
      <c r="V98" s="107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7"/>
      <c r="AH98" s="107"/>
      <c r="AI98" s="107"/>
      <c r="AJ98" s="107"/>
      <c r="AK98" s="107"/>
      <c r="AL98" s="107"/>
      <c r="AM98" s="104"/>
      <c r="AN98" s="104"/>
      <c r="AO98" s="104"/>
      <c r="AP98" s="104"/>
      <c r="AQ98" s="104"/>
    </row>
    <row r="99" spans="1:43" ht="48" customHeight="1" x14ac:dyDescent="0.3">
      <c r="A99" s="109"/>
      <c r="B99" s="116"/>
      <c r="C99" s="138"/>
      <c r="D99" s="54" t="s">
        <v>129</v>
      </c>
      <c r="E99" s="32" t="s">
        <v>130</v>
      </c>
      <c r="F99" s="54">
        <v>490</v>
      </c>
      <c r="G99" s="58" t="s">
        <v>131</v>
      </c>
      <c r="H99" s="59">
        <v>4.79</v>
      </c>
      <c r="I99" s="59">
        <f t="shared" si="67"/>
        <v>2347.1</v>
      </c>
      <c r="J99" s="59" t="s">
        <v>175</v>
      </c>
      <c r="K99" s="60">
        <v>1.55</v>
      </c>
      <c r="L99" s="59">
        <f>I99*K99</f>
        <v>3638.0050000000001</v>
      </c>
      <c r="M99" s="104"/>
      <c r="N99" s="104"/>
      <c r="O99" s="104"/>
      <c r="P99" s="104"/>
      <c r="Q99" s="104"/>
      <c r="R99" s="107"/>
      <c r="S99" s="107"/>
      <c r="T99" s="107"/>
      <c r="U99" s="107"/>
      <c r="V99" s="107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7"/>
      <c r="AH99" s="107"/>
      <c r="AI99" s="107"/>
      <c r="AJ99" s="107"/>
      <c r="AK99" s="107"/>
      <c r="AL99" s="107"/>
      <c r="AM99" s="104"/>
      <c r="AN99" s="104"/>
      <c r="AO99" s="104"/>
      <c r="AP99" s="104"/>
      <c r="AQ99" s="104"/>
    </row>
    <row r="100" spans="1:43" ht="47.25" customHeight="1" x14ac:dyDescent="0.3">
      <c r="A100" s="109"/>
      <c r="B100" s="116"/>
      <c r="C100" s="138"/>
      <c r="D100" s="54" t="s">
        <v>132</v>
      </c>
      <c r="E100" s="32" t="s">
        <v>130</v>
      </c>
      <c r="F100" s="54">
        <v>20</v>
      </c>
      <c r="G100" s="58" t="s">
        <v>133</v>
      </c>
      <c r="H100" s="59">
        <v>201.98</v>
      </c>
      <c r="I100" s="59">
        <f t="shared" ref="I100" si="78">F100*H100</f>
        <v>4039.6</v>
      </c>
      <c r="J100" s="59" t="s">
        <v>175</v>
      </c>
      <c r="K100" s="60">
        <v>1.55</v>
      </c>
      <c r="L100" s="59">
        <f>I100*K100</f>
        <v>6261.38</v>
      </c>
      <c r="M100" s="104"/>
      <c r="N100" s="104"/>
      <c r="O100" s="104"/>
      <c r="P100" s="104"/>
      <c r="Q100" s="104"/>
      <c r="R100" s="107"/>
      <c r="S100" s="107"/>
      <c r="T100" s="107"/>
      <c r="U100" s="107"/>
      <c r="V100" s="107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7"/>
      <c r="AH100" s="107"/>
      <c r="AI100" s="107"/>
      <c r="AJ100" s="107"/>
      <c r="AK100" s="107"/>
      <c r="AL100" s="107"/>
      <c r="AM100" s="104"/>
      <c r="AN100" s="104"/>
      <c r="AO100" s="104"/>
      <c r="AP100" s="104"/>
      <c r="AQ100" s="104"/>
    </row>
    <row r="101" spans="1:43" ht="44.25" customHeight="1" x14ac:dyDescent="0.3">
      <c r="A101" s="109"/>
      <c r="B101" s="116"/>
      <c r="C101" s="138"/>
      <c r="D101" s="54" t="s">
        <v>106</v>
      </c>
      <c r="E101" s="32" t="s">
        <v>107</v>
      </c>
      <c r="F101" s="54">
        <v>2</v>
      </c>
      <c r="G101" s="58" t="s">
        <v>134</v>
      </c>
      <c r="H101" s="59">
        <v>866.6</v>
      </c>
      <c r="I101" s="59">
        <f t="shared" si="67"/>
        <v>1733.2</v>
      </c>
      <c r="J101" s="59" t="s">
        <v>35</v>
      </c>
      <c r="K101" s="59" t="s">
        <v>35</v>
      </c>
      <c r="L101" s="59">
        <f>I101</f>
        <v>1733.2</v>
      </c>
      <c r="M101" s="105"/>
      <c r="N101" s="105"/>
      <c r="O101" s="105"/>
      <c r="P101" s="105"/>
      <c r="Q101" s="105"/>
      <c r="R101" s="108"/>
      <c r="S101" s="108"/>
      <c r="T101" s="108"/>
      <c r="U101" s="108"/>
      <c r="V101" s="108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8"/>
      <c r="AH101" s="108"/>
      <c r="AI101" s="108"/>
      <c r="AJ101" s="108"/>
      <c r="AK101" s="108"/>
      <c r="AL101" s="108"/>
      <c r="AM101" s="105"/>
      <c r="AN101" s="105"/>
      <c r="AO101" s="105"/>
      <c r="AP101" s="105"/>
      <c r="AQ101" s="105"/>
    </row>
    <row r="102" spans="1:43" ht="49.5" customHeight="1" x14ac:dyDescent="0.3">
      <c r="A102" s="109">
        <v>27</v>
      </c>
      <c r="B102" s="116" t="s">
        <v>73</v>
      </c>
      <c r="C102" s="138" t="s">
        <v>74</v>
      </c>
      <c r="D102" s="54" t="s">
        <v>136</v>
      </c>
      <c r="E102" s="54" t="s">
        <v>33</v>
      </c>
      <c r="F102" s="54">
        <v>1.8</v>
      </c>
      <c r="G102" s="58" t="s">
        <v>137</v>
      </c>
      <c r="H102" s="59">
        <v>1289.6099999999999</v>
      </c>
      <c r="I102" s="59">
        <f t="shared" ref="I102" si="79">F102*H102</f>
        <v>2321.2979999999998</v>
      </c>
      <c r="J102" s="59" t="s">
        <v>201</v>
      </c>
      <c r="K102" s="60">
        <v>1.1000000000000001</v>
      </c>
      <c r="L102" s="59">
        <f t="shared" ref="L102" si="80">I102*K102</f>
        <v>2553.4277999999999</v>
      </c>
      <c r="M102" s="103">
        <f>SUM(L102:L111)</f>
        <v>48965.045379999996</v>
      </c>
      <c r="N102" s="103">
        <f>M102*0.2</f>
        <v>9793.0090760000003</v>
      </c>
      <c r="O102" s="103">
        <f>M102+N102</f>
        <v>58758.054455999998</v>
      </c>
      <c r="P102" s="103">
        <f>O102</f>
        <v>58758.054455999998</v>
      </c>
      <c r="Q102" s="103">
        <f>SUM(W102:AC111)</f>
        <v>73354.673832842323</v>
      </c>
      <c r="R102" s="106">
        <v>1.048</v>
      </c>
      <c r="S102" s="106">
        <v>1.046</v>
      </c>
      <c r="T102" s="106">
        <v>1.046</v>
      </c>
      <c r="U102" s="106">
        <v>1.046</v>
      </c>
      <c r="V102" s="106">
        <v>1.046</v>
      </c>
      <c r="W102" s="103">
        <v>0</v>
      </c>
      <c r="X102" s="103">
        <v>0</v>
      </c>
      <c r="Y102" s="103">
        <v>0</v>
      </c>
      <c r="Z102" s="103">
        <v>0</v>
      </c>
      <c r="AA102" s="103">
        <v>0</v>
      </c>
      <c r="AB102" s="103">
        <f>L111*1.2*R102*S102*T102*U102</f>
        <v>7831.5476749723239</v>
      </c>
      <c r="AC102" s="103">
        <f>SUM(L102:L110)*1.2*R102*S102*T102*U102*V102</f>
        <v>65523.12615787</v>
      </c>
      <c r="AD102" s="103">
        <f>O102</f>
        <v>58758.054455999998</v>
      </c>
      <c r="AE102" s="103">
        <f>AD102</f>
        <v>58758.054455999998</v>
      </c>
      <c r="AF102" s="103">
        <f>SUM(AM102:AQ111)</f>
        <v>82414.184164188715</v>
      </c>
      <c r="AG102" s="106">
        <v>1.091</v>
      </c>
      <c r="AH102" s="106">
        <v>1.0780000000000001</v>
      </c>
      <c r="AI102" s="106">
        <v>1.0529999999999999</v>
      </c>
      <c r="AJ102" s="106">
        <v>1.044</v>
      </c>
      <c r="AK102" s="106">
        <v>1.044</v>
      </c>
      <c r="AL102" s="106">
        <v>1.044</v>
      </c>
      <c r="AM102" s="103">
        <v>0</v>
      </c>
      <c r="AN102" s="103">
        <v>0</v>
      </c>
      <c r="AO102" s="103">
        <v>0</v>
      </c>
      <c r="AP102" s="103">
        <f>L111*1.2*AG102*AH102*AI102*AJ102*AK102</f>
        <v>8813.8192467486842</v>
      </c>
      <c r="AQ102" s="103">
        <f>SUM(L102:L110)*1.2*AG102*AH102*AI102*AJ102*AK102*AL102</f>
        <v>73600.364917440034</v>
      </c>
    </row>
    <row r="103" spans="1:43" ht="83.25" customHeight="1" x14ac:dyDescent="0.3">
      <c r="A103" s="109"/>
      <c r="B103" s="116"/>
      <c r="C103" s="138"/>
      <c r="D103" s="54" t="s">
        <v>138</v>
      </c>
      <c r="E103" s="54" t="s">
        <v>33</v>
      </c>
      <c r="F103" s="54">
        <v>0.9</v>
      </c>
      <c r="G103" s="58" t="s">
        <v>139</v>
      </c>
      <c r="H103" s="59">
        <v>5233.16</v>
      </c>
      <c r="I103" s="59">
        <f t="shared" si="67"/>
        <v>4709.8440000000001</v>
      </c>
      <c r="J103" s="59" t="s">
        <v>200</v>
      </c>
      <c r="K103" s="60">
        <v>1.1100000000000001</v>
      </c>
      <c r="L103" s="59">
        <f t="shared" ref="L103:L109" si="81">I103*K103</f>
        <v>5227.9268400000001</v>
      </c>
      <c r="M103" s="104"/>
      <c r="N103" s="104"/>
      <c r="O103" s="104"/>
      <c r="P103" s="104"/>
      <c r="Q103" s="104"/>
      <c r="R103" s="107"/>
      <c r="S103" s="107"/>
      <c r="T103" s="107"/>
      <c r="U103" s="107"/>
      <c r="V103" s="107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7"/>
      <c r="AH103" s="107"/>
      <c r="AI103" s="107"/>
      <c r="AJ103" s="107"/>
      <c r="AK103" s="107"/>
      <c r="AL103" s="107"/>
      <c r="AM103" s="104"/>
      <c r="AN103" s="104"/>
      <c r="AO103" s="104"/>
      <c r="AP103" s="104"/>
      <c r="AQ103" s="104"/>
    </row>
    <row r="104" spans="1:43" ht="67.5" customHeight="1" x14ac:dyDescent="0.3">
      <c r="A104" s="109"/>
      <c r="B104" s="116"/>
      <c r="C104" s="138"/>
      <c r="D104" s="54" t="s">
        <v>140</v>
      </c>
      <c r="E104" s="54" t="s">
        <v>42</v>
      </c>
      <c r="F104" s="54">
        <v>37</v>
      </c>
      <c r="G104" s="58" t="s">
        <v>141</v>
      </c>
      <c r="H104" s="59">
        <v>308.56</v>
      </c>
      <c r="I104" s="59">
        <f>F104*H104</f>
        <v>11416.72</v>
      </c>
      <c r="J104" s="59" t="s">
        <v>200</v>
      </c>
      <c r="K104" s="60">
        <v>1.1100000000000001</v>
      </c>
      <c r="L104" s="59">
        <f t="shared" si="81"/>
        <v>12672.5592</v>
      </c>
      <c r="M104" s="104"/>
      <c r="N104" s="104"/>
      <c r="O104" s="104"/>
      <c r="P104" s="104"/>
      <c r="Q104" s="104"/>
      <c r="R104" s="107"/>
      <c r="S104" s="107"/>
      <c r="T104" s="107"/>
      <c r="U104" s="107"/>
      <c r="V104" s="107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7"/>
      <c r="AH104" s="107"/>
      <c r="AI104" s="107"/>
      <c r="AJ104" s="107"/>
      <c r="AK104" s="107"/>
      <c r="AL104" s="107"/>
      <c r="AM104" s="104"/>
      <c r="AN104" s="104"/>
      <c r="AO104" s="104"/>
      <c r="AP104" s="104"/>
      <c r="AQ104" s="104"/>
    </row>
    <row r="105" spans="1:43" ht="31.5" customHeight="1" x14ac:dyDescent="0.3">
      <c r="A105" s="109"/>
      <c r="B105" s="116"/>
      <c r="C105" s="138"/>
      <c r="D105" s="54" t="s">
        <v>142</v>
      </c>
      <c r="E105" s="54" t="s">
        <v>33</v>
      </c>
      <c r="F105" s="54">
        <v>0.9</v>
      </c>
      <c r="G105" s="58" t="s">
        <v>143</v>
      </c>
      <c r="H105" s="59">
        <v>515.19000000000005</v>
      </c>
      <c r="I105" s="59">
        <f t="shared" si="67"/>
        <v>463.67100000000005</v>
      </c>
      <c r="J105" s="59" t="s">
        <v>201</v>
      </c>
      <c r="K105" s="60">
        <v>1.1000000000000001</v>
      </c>
      <c r="L105" s="59">
        <f>I105*K105</f>
        <v>510.0381000000001</v>
      </c>
      <c r="M105" s="104"/>
      <c r="N105" s="104"/>
      <c r="O105" s="104"/>
      <c r="P105" s="104"/>
      <c r="Q105" s="104"/>
      <c r="R105" s="107"/>
      <c r="S105" s="107"/>
      <c r="T105" s="107"/>
      <c r="U105" s="107"/>
      <c r="V105" s="107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7"/>
      <c r="AH105" s="107"/>
      <c r="AI105" s="107"/>
      <c r="AJ105" s="107"/>
      <c r="AK105" s="107"/>
      <c r="AL105" s="107"/>
      <c r="AM105" s="104"/>
      <c r="AN105" s="104"/>
      <c r="AO105" s="104"/>
      <c r="AP105" s="104"/>
      <c r="AQ105" s="104"/>
    </row>
    <row r="106" spans="1:43" ht="66.75" customHeight="1" x14ac:dyDescent="0.3">
      <c r="A106" s="109"/>
      <c r="B106" s="116"/>
      <c r="C106" s="138"/>
      <c r="D106" s="54" t="s">
        <v>144</v>
      </c>
      <c r="E106" s="54" t="s">
        <v>42</v>
      </c>
      <c r="F106" s="54">
        <v>37</v>
      </c>
      <c r="G106" s="58" t="s">
        <v>145</v>
      </c>
      <c r="H106" s="59">
        <v>172.5</v>
      </c>
      <c r="I106" s="59">
        <f t="shared" si="67"/>
        <v>6382.5</v>
      </c>
      <c r="J106" s="59" t="s">
        <v>199</v>
      </c>
      <c r="K106" s="60">
        <v>1.49</v>
      </c>
      <c r="L106" s="59">
        <f t="shared" si="81"/>
        <v>9509.9249999999993</v>
      </c>
      <c r="M106" s="104"/>
      <c r="N106" s="104"/>
      <c r="O106" s="104"/>
      <c r="P106" s="104"/>
      <c r="Q106" s="104"/>
      <c r="R106" s="107"/>
      <c r="S106" s="107"/>
      <c r="T106" s="107"/>
      <c r="U106" s="107"/>
      <c r="V106" s="107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7"/>
      <c r="AH106" s="107"/>
      <c r="AI106" s="107"/>
      <c r="AJ106" s="107"/>
      <c r="AK106" s="107"/>
      <c r="AL106" s="107"/>
      <c r="AM106" s="104"/>
      <c r="AN106" s="104"/>
      <c r="AO106" s="104"/>
      <c r="AP106" s="104"/>
      <c r="AQ106" s="104"/>
    </row>
    <row r="107" spans="1:43" ht="66.75" customHeight="1" x14ac:dyDescent="0.3">
      <c r="A107" s="109"/>
      <c r="B107" s="116"/>
      <c r="C107" s="138"/>
      <c r="D107" s="54" t="s">
        <v>146</v>
      </c>
      <c r="E107" s="54" t="s">
        <v>33</v>
      </c>
      <c r="F107" s="54">
        <v>0.9</v>
      </c>
      <c r="G107" s="58" t="s">
        <v>145</v>
      </c>
      <c r="H107" s="59">
        <v>6822.56</v>
      </c>
      <c r="I107" s="59">
        <f t="shared" ref="I107:I109" si="82">F107*H107</f>
        <v>6140.3040000000001</v>
      </c>
      <c r="J107" s="59" t="s">
        <v>199</v>
      </c>
      <c r="K107" s="60">
        <v>1.49</v>
      </c>
      <c r="L107" s="59">
        <f t="shared" si="81"/>
        <v>9149.0529600000009</v>
      </c>
      <c r="M107" s="104"/>
      <c r="N107" s="104"/>
      <c r="O107" s="104"/>
      <c r="P107" s="104"/>
      <c r="Q107" s="104"/>
      <c r="R107" s="107"/>
      <c r="S107" s="107"/>
      <c r="T107" s="107"/>
      <c r="U107" s="107"/>
      <c r="V107" s="107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7"/>
      <c r="AH107" s="107"/>
      <c r="AI107" s="107"/>
      <c r="AJ107" s="107"/>
      <c r="AK107" s="107"/>
      <c r="AL107" s="107"/>
      <c r="AM107" s="104"/>
      <c r="AN107" s="104"/>
      <c r="AO107" s="104"/>
      <c r="AP107" s="104"/>
      <c r="AQ107" s="104"/>
    </row>
    <row r="108" spans="1:43" ht="44.25" customHeight="1" x14ac:dyDescent="0.3">
      <c r="A108" s="109"/>
      <c r="B108" s="116"/>
      <c r="C108" s="138"/>
      <c r="D108" s="54" t="s">
        <v>202</v>
      </c>
      <c r="E108" s="54" t="s">
        <v>82</v>
      </c>
      <c r="F108" s="54">
        <v>54</v>
      </c>
      <c r="G108" s="58" t="s">
        <v>149</v>
      </c>
      <c r="H108" s="59">
        <v>23.13</v>
      </c>
      <c r="I108" s="59">
        <f t="shared" si="82"/>
        <v>1249.02</v>
      </c>
      <c r="J108" s="59" t="s">
        <v>201</v>
      </c>
      <c r="K108" s="60">
        <v>1.1000000000000001</v>
      </c>
      <c r="L108" s="59">
        <f>I108*K108</f>
        <v>1373.922</v>
      </c>
      <c r="M108" s="104"/>
      <c r="N108" s="104"/>
      <c r="O108" s="104"/>
      <c r="P108" s="104"/>
      <c r="Q108" s="104"/>
      <c r="R108" s="107"/>
      <c r="S108" s="107"/>
      <c r="T108" s="107"/>
      <c r="U108" s="107"/>
      <c r="V108" s="107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7"/>
      <c r="AH108" s="107"/>
      <c r="AI108" s="107"/>
      <c r="AJ108" s="107"/>
      <c r="AK108" s="107"/>
      <c r="AL108" s="107"/>
      <c r="AM108" s="104"/>
      <c r="AN108" s="104"/>
      <c r="AO108" s="104"/>
      <c r="AP108" s="104"/>
      <c r="AQ108" s="104"/>
    </row>
    <row r="109" spans="1:43" ht="48" customHeight="1" x14ac:dyDescent="0.3">
      <c r="A109" s="109"/>
      <c r="B109" s="116"/>
      <c r="C109" s="138"/>
      <c r="D109" s="54" t="s">
        <v>147</v>
      </c>
      <c r="E109" s="54" t="s">
        <v>33</v>
      </c>
      <c r="F109" s="54">
        <v>0.9</v>
      </c>
      <c r="G109" s="58" t="s">
        <v>148</v>
      </c>
      <c r="H109" s="59">
        <v>1639.73</v>
      </c>
      <c r="I109" s="59">
        <f t="shared" si="82"/>
        <v>1475.7570000000001</v>
      </c>
      <c r="J109" s="59" t="s">
        <v>203</v>
      </c>
      <c r="K109" s="60">
        <v>1.64</v>
      </c>
      <c r="L109" s="59">
        <f t="shared" si="81"/>
        <v>2420.2414800000001</v>
      </c>
      <c r="M109" s="104"/>
      <c r="N109" s="104"/>
      <c r="O109" s="104"/>
      <c r="P109" s="104"/>
      <c r="Q109" s="104"/>
      <c r="R109" s="107"/>
      <c r="S109" s="107"/>
      <c r="T109" s="107"/>
      <c r="U109" s="107"/>
      <c r="V109" s="107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7"/>
      <c r="AH109" s="107"/>
      <c r="AI109" s="107"/>
      <c r="AJ109" s="107"/>
      <c r="AK109" s="107"/>
      <c r="AL109" s="107"/>
      <c r="AM109" s="104"/>
      <c r="AN109" s="104"/>
      <c r="AO109" s="104"/>
      <c r="AP109" s="104"/>
      <c r="AQ109" s="104"/>
    </row>
    <row r="110" spans="1:43" ht="85.5" customHeight="1" x14ac:dyDescent="0.3">
      <c r="A110" s="109"/>
      <c r="B110" s="116"/>
      <c r="C110" s="138"/>
      <c r="D110" s="54" t="s">
        <v>196</v>
      </c>
      <c r="E110" s="54" t="s">
        <v>44</v>
      </c>
      <c r="F110" s="54">
        <v>0.3</v>
      </c>
      <c r="G110" s="58" t="s">
        <v>204</v>
      </c>
      <c r="H110" s="59">
        <v>355.2</v>
      </c>
      <c r="I110" s="59">
        <f t="shared" si="67"/>
        <v>106.55999999999999</v>
      </c>
      <c r="J110" s="59" t="s">
        <v>35</v>
      </c>
      <c r="K110" s="60" t="s">
        <v>35</v>
      </c>
      <c r="L110" s="59">
        <f>I110</f>
        <v>106.55999999999999</v>
      </c>
      <c r="M110" s="104"/>
      <c r="N110" s="104"/>
      <c r="O110" s="104"/>
      <c r="P110" s="104"/>
      <c r="Q110" s="104"/>
      <c r="R110" s="107"/>
      <c r="S110" s="107"/>
      <c r="T110" s="107"/>
      <c r="U110" s="107"/>
      <c r="V110" s="107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7"/>
      <c r="AH110" s="107"/>
      <c r="AI110" s="107"/>
      <c r="AJ110" s="107"/>
      <c r="AK110" s="107"/>
      <c r="AL110" s="107"/>
      <c r="AM110" s="104"/>
      <c r="AN110" s="104"/>
      <c r="AO110" s="104"/>
      <c r="AP110" s="104"/>
      <c r="AQ110" s="104"/>
    </row>
    <row r="111" spans="1:43" ht="44.25" customHeight="1" x14ac:dyDescent="0.3">
      <c r="A111" s="109"/>
      <c r="B111" s="116"/>
      <c r="C111" s="138"/>
      <c r="D111" s="54" t="s">
        <v>135</v>
      </c>
      <c r="E111" s="32" t="s">
        <v>107</v>
      </c>
      <c r="F111" s="54">
        <v>0.86</v>
      </c>
      <c r="G111" s="58" t="s">
        <v>94</v>
      </c>
      <c r="H111" s="59">
        <v>6327.2</v>
      </c>
      <c r="I111" s="59">
        <f t="shared" si="67"/>
        <v>5441.3919999999998</v>
      </c>
      <c r="J111" s="59" t="s">
        <v>35</v>
      </c>
      <c r="K111" s="59" t="s">
        <v>35</v>
      </c>
      <c r="L111" s="59">
        <f>I111</f>
        <v>5441.3919999999998</v>
      </c>
      <c r="M111" s="105"/>
      <c r="N111" s="105"/>
      <c r="O111" s="105"/>
      <c r="P111" s="105"/>
      <c r="Q111" s="105"/>
      <c r="R111" s="108"/>
      <c r="S111" s="108"/>
      <c r="T111" s="108"/>
      <c r="U111" s="108"/>
      <c r="V111" s="108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8"/>
      <c r="AH111" s="108"/>
      <c r="AI111" s="108"/>
      <c r="AJ111" s="108"/>
      <c r="AK111" s="108"/>
      <c r="AL111" s="108"/>
      <c r="AM111" s="105"/>
      <c r="AN111" s="105"/>
      <c r="AO111" s="105"/>
      <c r="AP111" s="105"/>
      <c r="AQ111" s="105"/>
    </row>
    <row r="112" spans="1:43" ht="31.5" customHeight="1" x14ac:dyDescent="0.3">
      <c r="A112" s="109">
        <v>28</v>
      </c>
      <c r="B112" s="116" t="s">
        <v>75</v>
      </c>
      <c r="C112" s="138" t="s">
        <v>76</v>
      </c>
      <c r="D112" s="54" t="s">
        <v>122</v>
      </c>
      <c r="E112" s="54" t="s">
        <v>36</v>
      </c>
      <c r="F112" s="54">
        <v>1</v>
      </c>
      <c r="G112" s="32" t="s">
        <v>150</v>
      </c>
      <c r="H112" s="59">
        <v>2246.6999999999998</v>
      </c>
      <c r="I112" s="59">
        <f t="shared" si="67"/>
        <v>2246.6999999999998</v>
      </c>
      <c r="J112" s="59" t="s">
        <v>165</v>
      </c>
      <c r="K112" s="60">
        <v>1.44</v>
      </c>
      <c r="L112" s="59">
        <f t="shared" ref="L112:L115" si="83">I112*K112</f>
        <v>3235.2479999999996</v>
      </c>
      <c r="M112" s="103">
        <f>SUM(L112:L115)</f>
        <v>3911.3247047999994</v>
      </c>
      <c r="N112" s="103">
        <f>M112*0.2</f>
        <v>782.26494095999988</v>
      </c>
      <c r="O112" s="103">
        <f>M112+N112</f>
        <v>4693.5896457599993</v>
      </c>
      <c r="P112" s="103">
        <f>O112</f>
        <v>4693.5896457599993</v>
      </c>
      <c r="Q112" s="103">
        <f>SUM(W112:AC115)</f>
        <v>4918.8819487564797</v>
      </c>
      <c r="R112" s="106">
        <v>1.048</v>
      </c>
      <c r="S112" s="106">
        <v>1.046</v>
      </c>
      <c r="T112" s="106">
        <v>1.046</v>
      </c>
      <c r="U112" s="106">
        <v>1.046</v>
      </c>
      <c r="V112" s="106">
        <v>1.046</v>
      </c>
      <c r="W112" s="103">
        <v>0</v>
      </c>
      <c r="X112" s="103">
        <v>0</v>
      </c>
      <c r="Y112" s="103">
        <f>O112*R112</f>
        <v>4918.8819487564797</v>
      </c>
      <c r="Z112" s="103">
        <v>0</v>
      </c>
      <c r="AA112" s="103">
        <v>0</v>
      </c>
      <c r="AB112" s="103">
        <v>0</v>
      </c>
      <c r="AC112" s="103">
        <v>0</v>
      </c>
      <c r="AD112" s="103">
        <f>O112</f>
        <v>4693.5896457599993</v>
      </c>
      <c r="AE112" s="103">
        <f>AD112</f>
        <v>4693.5896457599993</v>
      </c>
      <c r="AF112" s="103">
        <f>SUM(AM112:AQ115)</f>
        <v>5520.1213951990439</v>
      </c>
      <c r="AG112" s="106">
        <v>1.091</v>
      </c>
      <c r="AH112" s="106">
        <v>1.0780000000000001</v>
      </c>
      <c r="AI112" s="106">
        <v>1.0529999999999999</v>
      </c>
      <c r="AJ112" s="106">
        <v>1.044</v>
      </c>
      <c r="AK112" s="106">
        <v>1.044</v>
      </c>
      <c r="AL112" s="106">
        <v>1.044</v>
      </c>
      <c r="AM112" s="103">
        <f>AD112*AG112*AH112</f>
        <v>5520.1213951990439</v>
      </c>
      <c r="AN112" s="103">
        <v>0</v>
      </c>
      <c r="AO112" s="103">
        <v>0</v>
      </c>
      <c r="AP112" s="103">
        <v>0</v>
      </c>
      <c r="AQ112" s="103">
        <v>0</v>
      </c>
    </row>
    <row r="113" spans="1:45" ht="77.25" customHeight="1" x14ac:dyDescent="0.3">
      <c r="A113" s="109"/>
      <c r="B113" s="116"/>
      <c r="C113" s="138"/>
      <c r="D113" s="54" t="s">
        <v>41</v>
      </c>
      <c r="E113" s="54" t="s">
        <v>42</v>
      </c>
      <c r="F113" s="54">
        <v>5.2</v>
      </c>
      <c r="G113" s="58" t="s">
        <v>153</v>
      </c>
      <c r="H113" s="59">
        <v>24.86</v>
      </c>
      <c r="I113" s="59">
        <f t="shared" si="67"/>
        <v>129.27199999999999</v>
      </c>
      <c r="J113" s="59" t="s">
        <v>194</v>
      </c>
      <c r="K113" s="60">
        <v>1.1100000000000001</v>
      </c>
      <c r="L113" s="59">
        <f t="shared" si="83"/>
        <v>143.49191999999999</v>
      </c>
      <c r="M113" s="104"/>
      <c r="N113" s="104"/>
      <c r="O113" s="104"/>
      <c r="P113" s="104"/>
      <c r="Q113" s="104"/>
      <c r="R113" s="107"/>
      <c r="S113" s="107"/>
      <c r="T113" s="107"/>
      <c r="U113" s="107"/>
      <c r="V113" s="107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7"/>
      <c r="AH113" s="107"/>
      <c r="AI113" s="107"/>
      <c r="AJ113" s="107"/>
      <c r="AK113" s="107"/>
      <c r="AL113" s="107"/>
      <c r="AM113" s="104"/>
      <c r="AN113" s="104"/>
      <c r="AO113" s="104"/>
      <c r="AP113" s="104"/>
      <c r="AQ113" s="104"/>
    </row>
    <row r="114" spans="1:45" ht="63.75" customHeight="1" x14ac:dyDescent="0.3">
      <c r="A114" s="109"/>
      <c r="B114" s="116"/>
      <c r="C114" s="138"/>
      <c r="D114" s="54" t="s">
        <v>151</v>
      </c>
      <c r="E114" s="54" t="s">
        <v>42</v>
      </c>
      <c r="F114" s="54">
        <v>5.2</v>
      </c>
      <c r="G114" s="58" t="s">
        <v>152</v>
      </c>
      <c r="H114" s="59">
        <v>37.99</v>
      </c>
      <c r="I114" s="59">
        <f t="shared" si="67"/>
        <v>197.54800000000003</v>
      </c>
      <c r="J114" s="59" t="s">
        <v>207</v>
      </c>
      <c r="K114" s="60">
        <v>1.62</v>
      </c>
      <c r="L114" s="59">
        <f t="shared" si="83"/>
        <v>320.02776000000006</v>
      </c>
      <c r="M114" s="104"/>
      <c r="N114" s="104"/>
      <c r="O114" s="104"/>
      <c r="P114" s="104"/>
      <c r="Q114" s="104"/>
      <c r="R114" s="107"/>
      <c r="S114" s="107"/>
      <c r="T114" s="107"/>
      <c r="U114" s="107"/>
      <c r="V114" s="107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7"/>
      <c r="AH114" s="107"/>
      <c r="AI114" s="107"/>
      <c r="AJ114" s="107"/>
      <c r="AK114" s="107"/>
      <c r="AL114" s="107"/>
      <c r="AM114" s="104"/>
      <c r="AN114" s="104"/>
      <c r="AO114" s="104"/>
      <c r="AP114" s="104"/>
      <c r="AQ114" s="104"/>
    </row>
    <row r="115" spans="1:45" ht="87.75" customHeight="1" x14ac:dyDescent="0.3">
      <c r="A115" s="109"/>
      <c r="B115" s="116"/>
      <c r="C115" s="138"/>
      <c r="D115" s="54" t="s">
        <v>206</v>
      </c>
      <c r="E115" s="54" t="s">
        <v>33</v>
      </c>
      <c r="F115" s="54">
        <v>6.8000000000000005E-2</v>
      </c>
      <c r="G115" s="58" t="s">
        <v>205</v>
      </c>
      <c r="H115" s="59">
        <v>1929.53</v>
      </c>
      <c r="I115" s="59">
        <f t="shared" si="67"/>
        <v>131.20804000000001</v>
      </c>
      <c r="J115" s="59" t="s">
        <v>207</v>
      </c>
      <c r="K115" s="60">
        <v>1.62</v>
      </c>
      <c r="L115" s="59">
        <f t="shared" si="83"/>
        <v>212.55702480000002</v>
      </c>
      <c r="M115" s="104"/>
      <c r="N115" s="104"/>
      <c r="O115" s="104"/>
      <c r="P115" s="105"/>
      <c r="Q115" s="105"/>
      <c r="R115" s="107"/>
      <c r="S115" s="107"/>
      <c r="T115" s="107"/>
      <c r="U115" s="107"/>
      <c r="V115" s="107"/>
      <c r="W115" s="104"/>
      <c r="X115" s="104"/>
      <c r="Y115" s="104"/>
      <c r="Z115" s="104"/>
      <c r="AA115" s="104"/>
      <c r="AB115" s="104"/>
      <c r="AC115" s="104"/>
      <c r="AD115" s="104"/>
      <c r="AE115" s="105"/>
      <c r="AF115" s="105"/>
      <c r="AG115" s="107"/>
      <c r="AH115" s="107"/>
      <c r="AI115" s="107"/>
      <c r="AJ115" s="107"/>
      <c r="AK115" s="107"/>
      <c r="AL115" s="107"/>
      <c r="AM115" s="104"/>
      <c r="AN115" s="104"/>
      <c r="AO115" s="104"/>
      <c r="AP115" s="104"/>
      <c r="AQ115" s="104"/>
    </row>
    <row r="116" spans="1:45" ht="31.5" customHeight="1" x14ac:dyDescent="0.3">
      <c r="A116" s="109">
        <v>29</v>
      </c>
      <c r="B116" s="116" t="s">
        <v>77</v>
      </c>
      <c r="C116" s="138" t="s">
        <v>76</v>
      </c>
      <c r="D116" s="54" t="s">
        <v>122</v>
      </c>
      <c r="E116" s="54" t="s">
        <v>36</v>
      </c>
      <c r="F116" s="54">
        <v>1</v>
      </c>
      <c r="G116" s="32" t="s">
        <v>150</v>
      </c>
      <c r="H116" s="59">
        <v>2246.6999999999998</v>
      </c>
      <c r="I116" s="59">
        <f t="shared" ref="I116:I119" si="84">F116*H116</f>
        <v>2246.6999999999998</v>
      </c>
      <c r="J116" s="59" t="s">
        <v>165</v>
      </c>
      <c r="K116" s="60">
        <v>1.44</v>
      </c>
      <c r="L116" s="59">
        <f t="shared" ref="L116:L119" si="85">I116*K116</f>
        <v>3235.2479999999996</v>
      </c>
      <c r="M116" s="103">
        <f>SUM(L116:L119)</f>
        <v>3911.3247047999994</v>
      </c>
      <c r="N116" s="103">
        <f>M116*0.2</f>
        <v>782.26494095999988</v>
      </c>
      <c r="O116" s="103">
        <f>M116+N116</f>
        <v>4693.5896457599993</v>
      </c>
      <c r="P116" s="103">
        <f>O116</f>
        <v>4693.5896457599993</v>
      </c>
      <c r="Q116" s="103">
        <f>SUM(W116:AC119)</f>
        <v>4918.8819487564797</v>
      </c>
      <c r="R116" s="106">
        <v>1.048</v>
      </c>
      <c r="S116" s="106">
        <v>1.046</v>
      </c>
      <c r="T116" s="106">
        <v>1.046</v>
      </c>
      <c r="U116" s="106">
        <v>1.046</v>
      </c>
      <c r="V116" s="106">
        <v>1.046</v>
      </c>
      <c r="W116" s="103">
        <v>0</v>
      </c>
      <c r="X116" s="103">
        <v>0</v>
      </c>
      <c r="Y116" s="103">
        <f>O116*R116</f>
        <v>4918.8819487564797</v>
      </c>
      <c r="Z116" s="103">
        <v>0</v>
      </c>
      <c r="AA116" s="103">
        <v>0</v>
      </c>
      <c r="AB116" s="103">
        <v>0</v>
      </c>
      <c r="AC116" s="103">
        <v>0</v>
      </c>
      <c r="AD116" s="103">
        <f>O116</f>
        <v>4693.5896457599993</v>
      </c>
      <c r="AE116" s="103">
        <f>AD116</f>
        <v>4693.5896457599993</v>
      </c>
      <c r="AF116" s="103">
        <f>SUM(AM116:AQ119)</f>
        <v>5520.1213951990439</v>
      </c>
      <c r="AG116" s="106">
        <v>1.091</v>
      </c>
      <c r="AH116" s="106">
        <v>1.0780000000000001</v>
      </c>
      <c r="AI116" s="106">
        <v>1.0529999999999999</v>
      </c>
      <c r="AJ116" s="106">
        <v>1.044</v>
      </c>
      <c r="AK116" s="106">
        <v>1.044</v>
      </c>
      <c r="AL116" s="106">
        <v>1.044</v>
      </c>
      <c r="AM116" s="103">
        <f>AD116*AG116*AH116</f>
        <v>5520.1213951990439</v>
      </c>
      <c r="AN116" s="103">
        <v>0</v>
      </c>
      <c r="AO116" s="103">
        <v>0</v>
      </c>
      <c r="AP116" s="103">
        <v>0</v>
      </c>
      <c r="AQ116" s="103">
        <v>0</v>
      </c>
    </row>
    <row r="117" spans="1:45" ht="81.75" customHeight="1" x14ac:dyDescent="0.3">
      <c r="A117" s="109"/>
      <c r="B117" s="116"/>
      <c r="C117" s="138"/>
      <c r="D117" s="54" t="s">
        <v>41</v>
      </c>
      <c r="E117" s="54" t="s">
        <v>42</v>
      </c>
      <c r="F117" s="54">
        <v>5.2</v>
      </c>
      <c r="G117" s="58" t="s">
        <v>153</v>
      </c>
      <c r="H117" s="59">
        <v>24.86</v>
      </c>
      <c r="I117" s="59">
        <f t="shared" si="84"/>
        <v>129.27199999999999</v>
      </c>
      <c r="J117" s="59" t="s">
        <v>194</v>
      </c>
      <c r="K117" s="60">
        <v>1.1100000000000001</v>
      </c>
      <c r="L117" s="59">
        <f t="shared" si="85"/>
        <v>143.49191999999999</v>
      </c>
      <c r="M117" s="104"/>
      <c r="N117" s="104"/>
      <c r="O117" s="104"/>
      <c r="P117" s="104"/>
      <c r="Q117" s="104"/>
      <c r="R117" s="107"/>
      <c r="S117" s="107"/>
      <c r="T117" s="107"/>
      <c r="U117" s="107"/>
      <c r="V117" s="107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7"/>
      <c r="AH117" s="107"/>
      <c r="AI117" s="107"/>
      <c r="AJ117" s="107"/>
      <c r="AK117" s="107"/>
      <c r="AL117" s="107"/>
      <c r="AM117" s="104"/>
      <c r="AN117" s="104"/>
      <c r="AO117" s="104"/>
      <c r="AP117" s="104"/>
      <c r="AQ117" s="104"/>
    </row>
    <row r="118" spans="1:45" ht="69.75" customHeight="1" x14ac:dyDescent="0.3">
      <c r="A118" s="109"/>
      <c r="B118" s="116"/>
      <c r="C118" s="138"/>
      <c r="D118" s="54" t="s">
        <v>151</v>
      </c>
      <c r="E118" s="54" t="s">
        <v>42</v>
      </c>
      <c r="F118" s="54">
        <v>5.2</v>
      </c>
      <c r="G118" s="58" t="s">
        <v>152</v>
      </c>
      <c r="H118" s="59">
        <v>37.99</v>
      </c>
      <c r="I118" s="59">
        <f t="shared" si="84"/>
        <v>197.54800000000003</v>
      </c>
      <c r="J118" s="59" t="s">
        <v>207</v>
      </c>
      <c r="K118" s="60">
        <v>1.62</v>
      </c>
      <c r="L118" s="59">
        <f t="shared" si="85"/>
        <v>320.02776000000006</v>
      </c>
      <c r="M118" s="104"/>
      <c r="N118" s="104"/>
      <c r="O118" s="104"/>
      <c r="P118" s="104"/>
      <c r="Q118" s="104"/>
      <c r="R118" s="107"/>
      <c r="S118" s="107"/>
      <c r="T118" s="107"/>
      <c r="U118" s="107"/>
      <c r="V118" s="107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7"/>
      <c r="AH118" s="107"/>
      <c r="AI118" s="107"/>
      <c r="AJ118" s="107"/>
      <c r="AK118" s="107"/>
      <c r="AL118" s="107"/>
      <c r="AM118" s="104"/>
      <c r="AN118" s="104"/>
      <c r="AO118" s="104"/>
      <c r="AP118" s="104"/>
      <c r="AQ118" s="104"/>
    </row>
    <row r="119" spans="1:45" ht="83.25" customHeight="1" x14ac:dyDescent="0.3">
      <c r="A119" s="109"/>
      <c r="B119" s="116"/>
      <c r="C119" s="138"/>
      <c r="D119" s="54" t="s">
        <v>206</v>
      </c>
      <c r="E119" s="54" t="s">
        <v>33</v>
      </c>
      <c r="F119" s="54">
        <v>6.8000000000000005E-2</v>
      </c>
      <c r="G119" s="58" t="s">
        <v>205</v>
      </c>
      <c r="H119" s="59">
        <v>1929.53</v>
      </c>
      <c r="I119" s="59">
        <f t="shared" si="84"/>
        <v>131.20804000000001</v>
      </c>
      <c r="J119" s="59" t="s">
        <v>207</v>
      </c>
      <c r="K119" s="60">
        <v>1.62</v>
      </c>
      <c r="L119" s="59">
        <f t="shared" si="85"/>
        <v>212.55702480000002</v>
      </c>
      <c r="M119" s="105"/>
      <c r="N119" s="105"/>
      <c r="O119" s="105"/>
      <c r="P119" s="105"/>
      <c r="Q119" s="105"/>
      <c r="R119" s="108"/>
      <c r="S119" s="108"/>
      <c r="T119" s="108"/>
      <c r="U119" s="108"/>
      <c r="V119" s="108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8"/>
      <c r="AH119" s="108"/>
      <c r="AI119" s="108"/>
      <c r="AJ119" s="108"/>
      <c r="AK119" s="108"/>
      <c r="AL119" s="108"/>
      <c r="AM119" s="105"/>
      <c r="AN119" s="105"/>
      <c r="AO119" s="105"/>
      <c r="AP119" s="105"/>
      <c r="AQ119" s="105"/>
    </row>
    <row r="120" spans="1:45" ht="82.5" customHeight="1" x14ac:dyDescent="0.3">
      <c r="A120" s="109">
        <v>30</v>
      </c>
      <c r="B120" s="116" t="s">
        <v>248</v>
      </c>
      <c r="C120" s="117">
        <v>6</v>
      </c>
      <c r="D120" s="54" t="s">
        <v>206</v>
      </c>
      <c r="E120" s="54" t="s">
        <v>33</v>
      </c>
      <c r="F120" s="54">
        <v>5.7729999999999997</v>
      </c>
      <c r="G120" s="58" t="s">
        <v>205</v>
      </c>
      <c r="H120" s="59">
        <v>1929.53</v>
      </c>
      <c r="I120" s="59">
        <v>11139.176689999998</v>
      </c>
      <c r="J120" s="59" t="s">
        <v>207</v>
      </c>
      <c r="K120" s="60">
        <v>1.62</v>
      </c>
      <c r="L120" s="59">
        <v>18045.466237799999</v>
      </c>
      <c r="M120" s="103">
        <f>SUM(L120:L126)</f>
        <v>55257.153235599995</v>
      </c>
      <c r="N120" s="103">
        <f>M120*0.2</f>
        <v>11051.43064712</v>
      </c>
      <c r="O120" s="103">
        <f>M120+N120</f>
        <v>66308.583882719991</v>
      </c>
      <c r="P120" s="103">
        <f>O120</f>
        <v>66308.583882719991</v>
      </c>
      <c r="Q120" s="103">
        <f>P120</f>
        <v>66308.583882719991</v>
      </c>
      <c r="R120" s="106">
        <v>1.046</v>
      </c>
      <c r="S120" s="106">
        <v>1.042</v>
      </c>
      <c r="T120" s="106">
        <v>1.042</v>
      </c>
      <c r="U120" s="106">
        <v>1.042</v>
      </c>
      <c r="V120" s="106">
        <v>1.042</v>
      </c>
      <c r="W120" s="103">
        <v>0</v>
      </c>
      <c r="X120" s="103">
        <f>Q120</f>
        <v>66308.583882719991</v>
      </c>
      <c r="Y120" s="103">
        <v>0</v>
      </c>
      <c r="Z120" s="103">
        <v>0</v>
      </c>
      <c r="AA120" s="103">
        <v>0</v>
      </c>
      <c r="AB120" s="103">
        <v>0</v>
      </c>
      <c r="AC120" s="103">
        <v>0</v>
      </c>
      <c r="AD120" s="103">
        <f>O120</f>
        <v>66308.583882719991</v>
      </c>
      <c r="AE120" s="103">
        <f>AD120</f>
        <v>66308.583882719991</v>
      </c>
      <c r="AF120" s="124">
        <f>AE120</f>
        <v>66308.583882719991</v>
      </c>
      <c r="AG120" s="106">
        <v>1.0740000000000001</v>
      </c>
      <c r="AH120" s="106">
        <v>1.0609999999999999</v>
      </c>
      <c r="AI120" s="106">
        <v>1.0529999999999999</v>
      </c>
      <c r="AJ120" s="106">
        <v>1.0449999999999999</v>
      </c>
      <c r="AK120" s="106">
        <v>1.0449999999999999</v>
      </c>
      <c r="AL120" s="106">
        <v>1.0449999999999999</v>
      </c>
      <c r="AM120" s="103">
        <v>0</v>
      </c>
      <c r="AN120" s="103">
        <v>0</v>
      </c>
      <c r="AO120" s="103">
        <v>0</v>
      </c>
      <c r="AP120" s="103">
        <v>0</v>
      </c>
      <c r="AQ120" s="103">
        <v>0</v>
      </c>
    </row>
    <row r="121" spans="1:45" ht="63.75" customHeight="1" x14ac:dyDescent="0.3">
      <c r="A121" s="109"/>
      <c r="B121" s="116"/>
      <c r="C121" s="118"/>
      <c r="D121" s="54" t="s">
        <v>151</v>
      </c>
      <c r="E121" s="54" t="s">
        <v>42</v>
      </c>
      <c r="F121" s="54">
        <v>224.45</v>
      </c>
      <c r="G121" s="58" t="s">
        <v>152</v>
      </c>
      <c r="H121" s="59">
        <v>37.99</v>
      </c>
      <c r="I121" s="59">
        <v>8526.8554999999997</v>
      </c>
      <c r="J121" s="59" t="s">
        <v>207</v>
      </c>
      <c r="K121" s="60">
        <v>1.62</v>
      </c>
      <c r="L121" s="59">
        <v>13813.50591</v>
      </c>
      <c r="M121" s="104"/>
      <c r="N121" s="104"/>
      <c r="O121" s="104"/>
      <c r="P121" s="104"/>
      <c r="Q121" s="104"/>
      <c r="R121" s="107"/>
      <c r="S121" s="107"/>
      <c r="T121" s="107"/>
      <c r="U121" s="107"/>
      <c r="V121" s="107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25"/>
      <c r="AG121" s="107"/>
      <c r="AH121" s="107"/>
      <c r="AI121" s="107"/>
      <c r="AJ121" s="107"/>
      <c r="AK121" s="107"/>
      <c r="AL121" s="107"/>
      <c r="AM121" s="104"/>
      <c r="AN121" s="104"/>
      <c r="AO121" s="104"/>
      <c r="AP121" s="104"/>
      <c r="AQ121" s="104"/>
    </row>
    <row r="122" spans="1:45" ht="64.5" customHeight="1" x14ac:dyDescent="0.3">
      <c r="A122" s="109"/>
      <c r="B122" s="116"/>
      <c r="C122" s="118"/>
      <c r="D122" s="54" t="s">
        <v>242</v>
      </c>
      <c r="E122" s="54" t="s">
        <v>33</v>
      </c>
      <c r="F122" s="54">
        <v>5.7729999999999997</v>
      </c>
      <c r="G122" s="58" t="s">
        <v>243</v>
      </c>
      <c r="H122" s="59">
        <v>1599.54</v>
      </c>
      <c r="I122" s="59">
        <v>9234.1444199999987</v>
      </c>
      <c r="J122" s="59" t="s">
        <v>195</v>
      </c>
      <c r="K122" s="60">
        <v>1.0900000000000001</v>
      </c>
      <c r="L122" s="59">
        <v>10065.217417799999</v>
      </c>
      <c r="M122" s="104"/>
      <c r="N122" s="104"/>
      <c r="O122" s="104"/>
      <c r="P122" s="104"/>
      <c r="Q122" s="104"/>
      <c r="R122" s="107"/>
      <c r="S122" s="107"/>
      <c r="T122" s="107"/>
      <c r="U122" s="107"/>
      <c r="V122" s="107"/>
      <c r="W122" s="104"/>
      <c r="X122" s="104"/>
      <c r="Y122" s="104"/>
      <c r="Z122" s="104"/>
      <c r="AA122" s="104">
        <v>0</v>
      </c>
      <c r="AB122" s="104"/>
      <c r="AC122" s="104"/>
      <c r="AD122" s="104"/>
      <c r="AE122" s="104"/>
      <c r="AF122" s="125"/>
      <c r="AG122" s="107">
        <v>1.0740000000000001</v>
      </c>
      <c r="AH122" s="107"/>
      <c r="AI122" s="107"/>
      <c r="AJ122" s="107"/>
      <c r="AK122" s="107"/>
      <c r="AL122" s="107"/>
      <c r="AM122" s="104"/>
      <c r="AN122" s="104"/>
      <c r="AO122" s="104">
        <v>0</v>
      </c>
      <c r="AP122" s="104"/>
      <c r="AQ122" s="104"/>
    </row>
    <row r="123" spans="1:45" ht="65.25" customHeight="1" x14ac:dyDescent="0.3">
      <c r="A123" s="109"/>
      <c r="B123" s="116"/>
      <c r="C123" s="118"/>
      <c r="D123" s="54" t="s">
        <v>41</v>
      </c>
      <c r="E123" s="54" t="s">
        <v>42</v>
      </c>
      <c r="F123" s="54">
        <v>224.45</v>
      </c>
      <c r="G123" s="58" t="s">
        <v>43</v>
      </c>
      <c r="H123" s="59">
        <v>24.86</v>
      </c>
      <c r="I123" s="59">
        <v>5579.8269999999993</v>
      </c>
      <c r="J123" s="59" t="s">
        <v>194</v>
      </c>
      <c r="K123" s="60">
        <v>1.1100000000000001</v>
      </c>
      <c r="L123" s="59">
        <v>6193.60797</v>
      </c>
      <c r="M123" s="104"/>
      <c r="N123" s="104"/>
      <c r="O123" s="104"/>
      <c r="P123" s="104"/>
      <c r="Q123" s="104"/>
      <c r="R123" s="107"/>
      <c r="S123" s="107"/>
      <c r="T123" s="107"/>
      <c r="U123" s="107"/>
      <c r="V123" s="107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25"/>
      <c r="AG123" s="107"/>
      <c r="AH123" s="107"/>
      <c r="AI123" s="107"/>
      <c r="AJ123" s="107"/>
      <c r="AK123" s="107"/>
      <c r="AL123" s="107"/>
      <c r="AM123" s="104"/>
      <c r="AN123" s="104"/>
      <c r="AO123" s="104"/>
      <c r="AP123" s="104"/>
      <c r="AQ123" s="104"/>
    </row>
    <row r="124" spans="1:45" ht="45" customHeight="1" x14ac:dyDescent="0.3">
      <c r="A124" s="109"/>
      <c r="B124" s="116"/>
      <c r="C124" s="118"/>
      <c r="D124" s="54" t="s">
        <v>244</v>
      </c>
      <c r="E124" s="54" t="s">
        <v>33</v>
      </c>
      <c r="F124" s="54">
        <v>0.5</v>
      </c>
      <c r="G124" s="58" t="s">
        <v>245</v>
      </c>
      <c r="H124" s="59">
        <v>3337.82</v>
      </c>
      <c r="I124" s="59">
        <v>1668.91</v>
      </c>
      <c r="J124" s="59" t="s">
        <v>198</v>
      </c>
      <c r="K124" s="60">
        <v>1.59</v>
      </c>
      <c r="L124" s="59">
        <v>2653.5669000000003</v>
      </c>
      <c r="M124" s="104"/>
      <c r="N124" s="104"/>
      <c r="O124" s="104"/>
      <c r="P124" s="104"/>
      <c r="Q124" s="104"/>
      <c r="R124" s="107"/>
      <c r="S124" s="107"/>
      <c r="T124" s="107"/>
      <c r="U124" s="107"/>
      <c r="V124" s="107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25"/>
      <c r="AG124" s="107"/>
      <c r="AH124" s="107"/>
      <c r="AI124" s="107"/>
      <c r="AJ124" s="107"/>
      <c r="AK124" s="107"/>
      <c r="AL124" s="107"/>
      <c r="AM124" s="104"/>
      <c r="AN124" s="104"/>
      <c r="AO124" s="104"/>
      <c r="AP124" s="104"/>
      <c r="AQ124" s="104"/>
    </row>
    <row r="125" spans="1:45" ht="78.75" customHeight="1" x14ac:dyDescent="0.3">
      <c r="A125" s="109"/>
      <c r="B125" s="116"/>
      <c r="C125" s="118"/>
      <c r="D125" s="54" t="s">
        <v>196</v>
      </c>
      <c r="E125" s="54" t="s">
        <v>44</v>
      </c>
      <c r="F125" s="54">
        <v>3.3690000000000002</v>
      </c>
      <c r="G125" s="58" t="s">
        <v>204</v>
      </c>
      <c r="H125" s="59">
        <v>355.2</v>
      </c>
      <c r="I125" s="59">
        <v>1196.6688000000001</v>
      </c>
      <c r="J125" s="59" t="s">
        <v>35</v>
      </c>
      <c r="K125" s="60" t="s">
        <v>35</v>
      </c>
      <c r="L125" s="59">
        <v>1196.6688000000001</v>
      </c>
      <c r="M125" s="104"/>
      <c r="N125" s="104"/>
      <c r="O125" s="104"/>
      <c r="P125" s="104"/>
      <c r="Q125" s="104"/>
      <c r="R125" s="107"/>
      <c r="S125" s="107"/>
      <c r="T125" s="107"/>
      <c r="U125" s="107"/>
      <c r="V125" s="107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25"/>
      <c r="AG125" s="107"/>
      <c r="AH125" s="107"/>
      <c r="AI125" s="107"/>
      <c r="AJ125" s="107"/>
      <c r="AK125" s="107"/>
      <c r="AL125" s="107"/>
      <c r="AM125" s="104"/>
      <c r="AN125" s="104"/>
      <c r="AO125" s="104"/>
      <c r="AP125" s="104"/>
      <c r="AQ125" s="104"/>
    </row>
    <row r="126" spans="1:45" ht="82.5" customHeight="1" x14ac:dyDescent="0.3">
      <c r="A126" s="109"/>
      <c r="B126" s="116"/>
      <c r="C126" s="119"/>
      <c r="D126" s="54" t="s">
        <v>246</v>
      </c>
      <c r="E126" s="54" t="s">
        <v>38</v>
      </c>
      <c r="F126" s="54">
        <v>1</v>
      </c>
      <c r="G126" s="58" t="s">
        <v>247</v>
      </c>
      <c r="H126" s="59">
        <v>3289.12</v>
      </c>
      <c r="I126" s="59">
        <v>3289.12</v>
      </c>
      <c r="J126" s="59" t="s">
        <v>35</v>
      </c>
      <c r="K126" s="60" t="s">
        <v>35</v>
      </c>
      <c r="L126" s="59">
        <v>3289.12</v>
      </c>
      <c r="M126" s="105"/>
      <c r="N126" s="105"/>
      <c r="O126" s="105"/>
      <c r="P126" s="105"/>
      <c r="Q126" s="105"/>
      <c r="R126" s="108"/>
      <c r="S126" s="108"/>
      <c r="T126" s="108"/>
      <c r="U126" s="108"/>
      <c r="V126" s="108"/>
      <c r="W126" s="105"/>
      <c r="X126" s="105"/>
      <c r="Y126" s="105"/>
      <c r="Z126" s="105"/>
      <c r="AA126" s="105"/>
      <c r="AB126" s="105"/>
      <c r="AC126" s="105"/>
      <c r="AD126" s="105"/>
      <c r="AE126" s="105"/>
      <c r="AF126" s="126"/>
      <c r="AG126" s="108"/>
      <c r="AH126" s="108"/>
      <c r="AI126" s="108"/>
      <c r="AJ126" s="108"/>
      <c r="AK126" s="108"/>
      <c r="AL126" s="108"/>
      <c r="AM126" s="105"/>
      <c r="AN126" s="105"/>
      <c r="AO126" s="105"/>
      <c r="AP126" s="105"/>
      <c r="AQ126" s="105"/>
    </row>
    <row r="127" spans="1:45" ht="78" customHeight="1" x14ac:dyDescent="0.25">
      <c r="A127" s="73">
        <v>31</v>
      </c>
      <c r="B127" s="32" t="s">
        <v>249</v>
      </c>
      <c r="C127" s="74">
        <v>35</v>
      </c>
      <c r="D127" s="54" t="s">
        <v>78</v>
      </c>
      <c r="E127" s="54" t="s">
        <v>82</v>
      </c>
      <c r="F127" s="54">
        <v>10</v>
      </c>
      <c r="G127" s="32" t="s">
        <v>214</v>
      </c>
      <c r="H127" s="59">
        <v>27469.919999999998</v>
      </c>
      <c r="I127" s="59">
        <f>F127*H127</f>
        <v>274699.19999999995</v>
      </c>
      <c r="J127" s="59" t="s">
        <v>165</v>
      </c>
      <c r="K127" s="60">
        <v>1.44</v>
      </c>
      <c r="L127" s="59">
        <f>I127*K127</f>
        <v>395566.84799999994</v>
      </c>
      <c r="M127" s="59">
        <f>SUM(L127:L127)</f>
        <v>395566.84799999994</v>
      </c>
      <c r="N127" s="59">
        <f t="shared" ref="N127:N132" si="86">M127*0.2</f>
        <v>79113.369599999991</v>
      </c>
      <c r="O127" s="59">
        <f>(M127+N127)</f>
        <v>474680.21759999992</v>
      </c>
      <c r="P127" s="59">
        <f>O127</f>
        <v>474680.21759999992</v>
      </c>
      <c r="Q127" s="59">
        <f>SUM(W127:AC127)</f>
        <v>511705.27457279991</v>
      </c>
      <c r="R127" s="75">
        <v>1.0780000000000001</v>
      </c>
      <c r="S127" s="75">
        <v>1.0529999999999999</v>
      </c>
      <c r="T127" s="75">
        <v>1.044</v>
      </c>
      <c r="U127" s="75">
        <v>1.044</v>
      </c>
      <c r="V127" s="75">
        <v>1.044</v>
      </c>
      <c r="W127" s="59">
        <v>0</v>
      </c>
      <c r="X127" s="59">
        <v>0</v>
      </c>
      <c r="Y127" s="59">
        <f>O127*R127</f>
        <v>511705.27457279991</v>
      </c>
      <c r="Z127" s="59">
        <v>0</v>
      </c>
      <c r="AA127" s="59">
        <v>0</v>
      </c>
      <c r="AB127" s="59">
        <v>0</v>
      </c>
      <c r="AC127" s="59">
        <v>0</v>
      </c>
      <c r="AD127" s="59">
        <f>O127</f>
        <v>474680.21759999992</v>
      </c>
      <c r="AE127" s="59">
        <f t="shared" ref="AE127:AE131" si="87">AD127</f>
        <v>474680.21759999992</v>
      </c>
      <c r="AF127" s="59">
        <f>SUM(AM127:AQ127)</f>
        <v>558270.45455892466</v>
      </c>
      <c r="AG127" s="75">
        <v>1.091</v>
      </c>
      <c r="AH127" s="75">
        <v>1.0780000000000001</v>
      </c>
      <c r="AI127" s="75">
        <v>1.0529999999999999</v>
      </c>
      <c r="AJ127" s="75">
        <v>1.044</v>
      </c>
      <c r="AK127" s="75">
        <v>1.044</v>
      </c>
      <c r="AL127" s="75">
        <v>1.044</v>
      </c>
      <c r="AM127" s="59">
        <f>AD127*AG127*AH127</f>
        <v>558270.45455892466</v>
      </c>
      <c r="AN127" s="59">
        <v>0</v>
      </c>
      <c r="AO127" s="59">
        <v>0</v>
      </c>
      <c r="AP127" s="59">
        <v>0</v>
      </c>
      <c r="AQ127" s="59">
        <v>0</v>
      </c>
      <c r="AS127" s="31"/>
    </row>
    <row r="128" spans="1:45" ht="84" customHeight="1" x14ac:dyDescent="0.3">
      <c r="A128" s="73">
        <v>32</v>
      </c>
      <c r="B128" s="32" t="s">
        <v>251</v>
      </c>
      <c r="C128" s="72" t="s">
        <v>60</v>
      </c>
      <c r="D128" s="54" t="s">
        <v>118</v>
      </c>
      <c r="E128" s="54" t="s">
        <v>36</v>
      </c>
      <c r="F128" s="54">
        <v>1</v>
      </c>
      <c r="G128" s="32" t="s">
        <v>119</v>
      </c>
      <c r="H128" s="59">
        <v>40047.11</v>
      </c>
      <c r="I128" s="59">
        <f t="shared" ref="I128" si="88">F128*H128</f>
        <v>40047.11</v>
      </c>
      <c r="J128" s="59" t="s">
        <v>192</v>
      </c>
      <c r="K128" s="60">
        <v>1.44</v>
      </c>
      <c r="L128" s="59">
        <f>I128*K128</f>
        <v>57667.838400000001</v>
      </c>
      <c r="M128" s="61">
        <f>SUM(L128:L128)</f>
        <v>57667.838400000001</v>
      </c>
      <c r="N128" s="61">
        <f t="shared" si="86"/>
        <v>11533.56768</v>
      </c>
      <c r="O128" s="61">
        <f>M128+N128</f>
        <v>69201.406080000001</v>
      </c>
      <c r="P128" s="61">
        <f t="shared" ref="P128:P132" si="89">O128</f>
        <v>69201.406080000001</v>
      </c>
      <c r="Q128" s="61">
        <f>SUM(W128:AC128)</f>
        <v>78552.868889214718</v>
      </c>
      <c r="R128" s="75">
        <v>1.0780000000000001</v>
      </c>
      <c r="S128" s="75">
        <v>1.0529999999999999</v>
      </c>
      <c r="T128" s="75">
        <v>1.044</v>
      </c>
      <c r="U128" s="75">
        <v>1.044</v>
      </c>
      <c r="V128" s="75">
        <v>1.044</v>
      </c>
      <c r="W128" s="61">
        <v>0</v>
      </c>
      <c r="X128" s="61">
        <v>0</v>
      </c>
      <c r="Y128" s="61">
        <v>0</v>
      </c>
      <c r="Z128" s="61">
        <f>O128*R128*S128</f>
        <v>78552.868889214718</v>
      </c>
      <c r="AA128" s="61">
        <v>0</v>
      </c>
      <c r="AB128" s="61">
        <v>0</v>
      </c>
      <c r="AC128" s="61">
        <v>0</v>
      </c>
      <c r="AD128" s="61">
        <f>P128</f>
        <v>69201.406080000001</v>
      </c>
      <c r="AE128" s="61">
        <f t="shared" si="87"/>
        <v>69201.406080000001</v>
      </c>
      <c r="AF128" s="61">
        <f>SUM(AM128:AQ128)</f>
        <v>85701.179958133245</v>
      </c>
      <c r="AG128" s="75">
        <v>1.091</v>
      </c>
      <c r="AH128" s="75">
        <v>1.0780000000000001</v>
      </c>
      <c r="AI128" s="75">
        <v>1.0529999999999999</v>
      </c>
      <c r="AJ128" s="75">
        <v>1.044</v>
      </c>
      <c r="AK128" s="75">
        <v>1.044</v>
      </c>
      <c r="AL128" s="75">
        <v>1.044</v>
      </c>
      <c r="AM128" s="61">
        <v>0</v>
      </c>
      <c r="AN128" s="61">
        <f>AD128*AG128*AH128*AI128</f>
        <v>85701.179958133245</v>
      </c>
      <c r="AO128" s="61">
        <v>0</v>
      </c>
      <c r="AP128" s="61">
        <v>0</v>
      </c>
      <c r="AQ128" s="61">
        <v>0</v>
      </c>
      <c r="AS128" s="57"/>
    </row>
    <row r="129" spans="1:45" ht="100.5" customHeight="1" x14ac:dyDescent="0.3">
      <c r="A129" s="73">
        <v>33</v>
      </c>
      <c r="B129" s="32" t="s">
        <v>250</v>
      </c>
      <c r="C129" s="72" t="s">
        <v>60</v>
      </c>
      <c r="D129" s="54" t="s">
        <v>118</v>
      </c>
      <c r="E129" s="54" t="s">
        <v>36</v>
      </c>
      <c r="F129" s="54">
        <v>1</v>
      </c>
      <c r="G129" s="32" t="s">
        <v>119</v>
      </c>
      <c r="H129" s="59">
        <v>40047.11</v>
      </c>
      <c r="I129" s="59">
        <f t="shared" ref="I129" si="90">F129*H129</f>
        <v>40047.11</v>
      </c>
      <c r="J129" s="59" t="s">
        <v>192</v>
      </c>
      <c r="K129" s="60">
        <v>1.44</v>
      </c>
      <c r="L129" s="59">
        <f>I129*K129</f>
        <v>57667.838400000001</v>
      </c>
      <c r="M129" s="61">
        <f>SUM(L129:L129)</f>
        <v>57667.838400000001</v>
      </c>
      <c r="N129" s="61">
        <f t="shared" si="86"/>
        <v>11533.56768</v>
      </c>
      <c r="O129" s="61">
        <f>M129+N129</f>
        <v>69201.406080000001</v>
      </c>
      <c r="P129" s="61">
        <f t="shared" si="89"/>
        <v>69201.406080000001</v>
      </c>
      <c r="Q129" s="61">
        <f>SUM(W129:AC129)</f>
        <v>78552.868889214718</v>
      </c>
      <c r="R129" s="75">
        <v>1.0780000000000001</v>
      </c>
      <c r="S129" s="75">
        <v>1.0529999999999999</v>
      </c>
      <c r="T129" s="75">
        <v>1.044</v>
      </c>
      <c r="U129" s="75">
        <v>1.044</v>
      </c>
      <c r="V129" s="75">
        <v>1.044</v>
      </c>
      <c r="W129" s="61">
        <v>0</v>
      </c>
      <c r="X129" s="61">
        <v>0</v>
      </c>
      <c r="Y129" s="61">
        <v>0</v>
      </c>
      <c r="Z129" s="61">
        <f>O129*R129*S129</f>
        <v>78552.868889214718</v>
      </c>
      <c r="AA129" s="61">
        <v>0</v>
      </c>
      <c r="AB129" s="61">
        <v>0</v>
      </c>
      <c r="AC129" s="61">
        <v>0</v>
      </c>
      <c r="AD129" s="61">
        <f>O129</f>
        <v>69201.406080000001</v>
      </c>
      <c r="AE129" s="61">
        <f t="shared" si="87"/>
        <v>69201.406080000001</v>
      </c>
      <c r="AF129" s="61">
        <f>SUM(AM129:AQ129)</f>
        <v>85701.179958133245</v>
      </c>
      <c r="AG129" s="75">
        <v>1.091</v>
      </c>
      <c r="AH129" s="75">
        <v>1.0780000000000001</v>
      </c>
      <c r="AI129" s="75">
        <v>1.0529999999999999</v>
      </c>
      <c r="AJ129" s="75">
        <v>1.044</v>
      </c>
      <c r="AK129" s="75">
        <v>1.044</v>
      </c>
      <c r="AL129" s="75">
        <v>1.044</v>
      </c>
      <c r="AM129" s="61">
        <v>0</v>
      </c>
      <c r="AN129" s="61">
        <f>AD129*AG129*AH129*AI129</f>
        <v>85701.179958133245</v>
      </c>
      <c r="AO129" s="61">
        <v>0</v>
      </c>
      <c r="AP129" s="61">
        <v>0</v>
      </c>
      <c r="AQ129" s="61">
        <v>0</v>
      </c>
      <c r="AS129" s="57"/>
    </row>
    <row r="130" spans="1:45" ht="87.75" customHeight="1" x14ac:dyDescent="0.3">
      <c r="A130" s="73">
        <v>34</v>
      </c>
      <c r="B130" s="32" t="s">
        <v>252</v>
      </c>
      <c r="C130" s="72" t="s">
        <v>60</v>
      </c>
      <c r="D130" s="54" t="s">
        <v>154</v>
      </c>
      <c r="E130" s="54" t="s">
        <v>36</v>
      </c>
      <c r="F130" s="54">
        <v>1</v>
      </c>
      <c r="G130" s="32" t="s">
        <v>117</v>
      </c>
      <c r="H130" s="59">
        <v>45019.29</v>
      </c>
      <c r="I130" s="59">
        <f t="shared" ref="I130" si="91">F130*H130</f>
        <v>45019.29</v>
      </c>
      <c r="J130" s="59" t="s">
        <v>192</v>
      </c>
      <c r="K130" s="60">
        <v>1.44</v>
      </c>
      <c r="L130" s="59">
        <f t="shared" ref="L130" si="92">I130*K130</f>
        <v>64827.777600000001</v>
      </c>
      <c r="M130" s="59">
        <f>SUM(L130:L130)</f>
        <v>64827.777600000001</v>
      </c>
      <c r="N130" s="59">
        <f t="shared" si="86"/>
        <v>12965.555520000002</v>
      </c>
      <c r="O130" s="59">
        <f>M130+N130</f>
        <v>77793.333119999996</v>
      </c>
      <c r="P130" s="59">
        <f t="shared" si="89"/>
        <v>77793.333119999996</v>
      </c>
      <c r="Q130" s="59">
        <f>SUM(W130:AC130)</f>
        <v>92191.315123342953</v>
      </c>
      <c r="R130" s="75">
        <v>1.0780000000000001</v>
      </c>
      <c r="S130" s="75">
        <v>1.0529999999999999</v>
      </c>
      <c r="T130" s="75">
        <v>1.044</v>
      </c>
      <c r="U130" s="75">
        <v>1.044</v>
      </c>
      <c r="V130" s="75">
        <v>1.044</v>
      </c>
      <c r="W130" s="59">
        <v>0</v>
      </c>
      <c r="X130" s="59">
        <v>0</v>
      </c>
      <c r="Y130" s="59">
        <v>0</v>
      </c>
      <c r="Z130" s="59">
        <v>0</v>
      </c>
      <c r="AA130" s="59">
        <f>O130*R130*S130*T130</f>
        <v>92191.315123342953</v>
      </c>
      <c r="AB130" s="59">
        <v>0</v>
      </c>
      <c r="AC130" s="59">
        <v>0</v>
      </c>
      <c r="AD130" s="59">
        <f>O130</f>
        <v>77793.333119999996</v>
      </c>
      <c r="AE130" s="59">
        <f t="shared" si="87"/>
        <v>77793.333119999996</v>
      </c>
      <c r="AF130" s="59">
        <f>SUM(AM130:AQ130)</f>
        <v>100580.72479956718</v>
      </c>
      <c r="AG130" s="75">
        <v>1.091</v>
      </c>
      <c r="AH130" s="75">
        <v>1.0780000000000001</v>
      </c>
      <c r="AI130" s="75">
        <v>1.0529999999999999</v>
      </c>
      <c r="AJ130" s="75">
        <v>1.044</v>
      </c>
      <c r="AK130" s="75">
        <v>1.044</v>
      </c>
      <c r="AL130" s="75">
        <v>1.044</v>
      </c>
      <c r="AM130" s="59">
        <v>0</v>
      </c>
      <c r="AN130" s="59">
        <v>0</v>
      </c>
      <c r="AO130" s="59">
        <f>AD130*AG130*AH130*AI130*AJ130</f>
        <v>100580.72479956718</v>
      </c>
      <c r="AP130" s="59">
        <v>0</v>
      </c>
      <c r="AQ130" s="59">
        <v>0</v>
      </c>
      <c r="AS130" s="57"/>
    </row>
    <row r="131" spans="1:45" ht="87.75" customHeight="1" x14ac:dyDescent="0.3">
      <c r="A131" s="54">
        <v>35</v>
      </c>
      <c r="B131" s="32" t="s">
        <v>253</v>
      </c>
      <c r="C131" s="72" t="s">
        <v>60</v>
      </c>
      <c r="D131" s="54" t="s">
        <v>154</v>
      </c>
      <c r="E131" s="54" t="s">
        <v>36</v>
      </c>
      <c r="F131" s="54">
        <v>1</v>
      </c>
      <c r="G131" s="32" t="s">
        <v>117</v>
      </c>
      <c r="H131" s="59">
        <v>45019.29</v>
      </c>
      <c r="I131" s="59">
        <f t="shared" ref="I131:I132" si="93">F131*H131</f>
        <v>45019.29</v>
      </c>
      <c r="J131" s="59" t="s">
        <v>192</v>
      </c>
      <c r="K131" s="60">
        <v>1.44</v>
      </c>
      <c r="L131" s="59">
        <f t="shared" ref="L131" si="94">I131*K131</f>
        <v>64827.777600000001</v>
      </c>
      <c r="M131" s="59">
        <f>SUM(L131:L131)</f>
        <v>64827.777600000001</v>
      </c>
      <c r="N131" s="59">
        <f t="shared" si="86"/>
        <v>12965.555520000002</v>
      </c>
      <c r="O131" s="59">
        <f>M131+N131</f>
        <v>77793.333119999996</v>
      </c>
      <c r="P131" s="59">
        <f t="shared" si="89"/>
        <v>77793.333119999996</v>
      </c>
      <c r="Q131" s="59">
        <f>SUM(W131:AC131)</f>
        <v>96247.732988770047</v>
      </c>
      <c r="R131" s="75">
        <v>1.0780000000000001</v>
      </c>
      <c r="S131" s="75">
        <v>1.0529999999999999</v>
      </c>
      <c r="T131" s="75">
        <v>1.044</v>
      </c>
      <c r="U131" s="75">
        <v>1.044</v>
      </c>
      <c r="V131" s="75">
        <v>1.044</v>
      </c>
      <c r="W131" s="59">
        <v>0</v>
      </c>
      <c r="X131" s="59">
        <v>0</v>
      </c>
      <c r="Y131" s="59">
        <v>0</v>
      </c>
      <c r="Z131" s="59">
        <v>0</v>
      </c>
      <c r="AA131" s="59">
        <v>0</v>
      </c>
      <c r="AB131" s="59">
        <f>O131*R131*S131*T131*U131</f>
        <v>96247.732988770047</v>
      </c>
      <c r="AC131" s="59">
        <v>0</v>
      </c>
      <c r="AD131" s="59">
        <f>O131</f>
        <v>77793.333119999996</v>
      </c>
      <c r="AE131" s="59">
        <f t="shared" si="87"/>
        <v>77793.333119999996</v>
      </c>
      <c r="AF131" s="59">
        <f>SUM(AM131:AQ131)</f>
        <v>105006.27669074814</v>
      </c>
      <c r="AG131" s="75">
        <v>1.091</v>
      </c>
      <c r="AH131" s="75">
        <v>1.0780000000000001</v>
      </c>
      <c r="AI131" s="75">
        <v>1.0529999999999999</v>
      </c>
      <c r="AJ131" s="75">
        <v>1.044</v>
      </c>
      <c r="AK131" s="75">
        <v>1.044</v>
      </c>
      <c r="AL131" s="75">
        <v>1.044</v>
      </c>
      <c r="AM131" s="59">
        <v>0</v>
      </c>
      <c r="AN131" s="59">
        <v>0</v>
      </c>
      <c r="AO131" s="59">
        <v>0</v>
      </c>
      <c r="AP131" s="59">
        <f>AD131*AG131*AH131*AI131*AJ131*AK131</f>
        <v>105006.27669074814</v>
      </c>
      <c r="AQ131" s="59">
        <v>0</v>
      </c>
      <c r="AS131" s="57"/>
    </row>
    <row r="132" spans="1:45" ht="87.75" customHeight="1" x14ac:dyDescent="0.3">
      <c r="A132" s="109">
        <v>36</v>
      </c>
      <c r="B132" s="116" t="s">
        <v>255</v>
      </c>
      <c r="C132" s="117" t="s">
        <v>61</v>
      </c>
      <c r="D132" s="54" t="s">
        <v>256</v>
      </c>
      <c r="E132" s="54" t="s">
        <v>257</v>
      </c>
      <c r="F132" s="54">
        <v>1</v>
      </c>
      <c r="G132" s="32" t="s">
        <v>258</v>
      </c>
      <c r="H132" s="59">
        <v>5360.36</v>
      </c>
      <c r="I132" s="59">
        <f t="shared" si="93"/>
        <v>5360.36</v>
      </c>
      <c r="J132" s="59" t="s">
        <v>227</v>
      </c>
      <c r="K132" s="60">
        <v>1.41</v>
      </c>
      <c r="L132" s="59">
        <f>I132*K132</f>
        <v>7558.1075999999994</v>
      </c>
      <c r="M132" s="103">
        <f>SUM(L132:L135)</f>
        <v>11338.297</v>
      </c>
      <c r="N132" s="103">
        <f t="shared" si="86"/>
        <v>2267.6594</v>
      </c>
      <c r="O132" s="103">
        <f>(M132+N132)</f>
        <v>13605.956400000001</v>
      </c>
      <c r="P132" s="103">
        <f t="shared" si="89"/>
        <v>13605.956400000001</v>
      </c>
      <c r="Q132" s="103">
        <f>SUM(W132:AC135)</f>
        <v>17574.286535781557</v>
      </c>
      <c r="R132" s="106">
        <v>1.0780000000000001</v>
      </c>
      <c r="S132" s="106">
        <v>1.0529999999999999</v>
      </c>
      <c r="T132" s="106">
        <v>1.044</v>
      </c>
      <c r="U132" s="106">
        <v>1.044</v>
      </c>
      <c r="V132" s="106">
        <v>1.044</v>
      </c>
      <c r="W132" s="103">
        <v>0</v>
      </c>
      <c r="X132" s="103">
        <v>0</v>
      </c>
      <c r="Y132" s="103">
        <v>0</v>
      </c>
      <c r="Z132" s="103">
        <v>0</v>
      </c>
      <c r="AA132" s="103">
        <v>0</v>
      </c>
      <c r="AB132" s="103">
        <v>0</v>
      </c>
      <c r="AC132" s="103">
        <f>O132*R132*S132*T132*U132*V132</f>
        <v>17574.286535781557</v>
      </c>
      <c r="AD132" s="103">
        <f>O132</f>
        <v>13605.956400000001</v>
      </c>
      <c r="AE132" s="103">
        <f>AD132</f>
        <v>13605.956400000001</v>
      </c>
      <c r="AF132" s="103">
        <f>SUM(AM132:AQ135)</f>
        <v>19173.546610537673</v>
      </c>
      <c r="AG132" s="106">
        <v>1.091</v>
      </c>
      <c r="AH132" s="106">
        <v>1.0780000000000001</v>
      </c>
      <c r="AI132" s="106">
        <v>1.0529999999999999</v>
      </c>
      <c r="AJ132" s="106">
        <v>1.044</v>
      </c>
      <c r="AK132" s="106">
        <v>1.044</v>
      </c>
      <c r="AL132" s="106">
        <v>1.044</v>
      </c>
      <c r="AM132" s="103">
        <v>0</v>
      </c>
      <c r="AN132" s="103">
        <v>0</v>
      </c>
      <c r="AO132" s="103">
        <v>0</v>
      </c>
      <c r="AP132" s="103">
        <v>0</v>
      </c>
      <c r="AQ132" s="103">
        <f>AE132*AG132*AH132*AI132*AJ132*AK132*AL132</f>
        <v>19173.546610537673</v>
      </c>
      <c r="AS132" s="57"/>
    </row>
    <row r="133" spans="1:45" ht="87.75" customHeight="1" x14ac:dyDescent="0.3">
      <c r="A133" s="109"/>
      <c r="B133" s="116"/>
      <c r="C133" s="118"/>
      <c r="D133" s="54" t="s">
        <v>259</v>
      </c>
      <c r="E133" s="54" t="s">
        <v>44</v>
      </c>
      <c r="F133" s="54">
        <v>0.5</v>
      </c>
      <c r="G133" s="58" t="s">
        <v>260</v>
      </c>
      <c r="H133" s="59">
        <v>514.42999999999995</v>
      </c>
      <c r="I133" s="59">
        <f>F133*H133</f>
        <v>257.21499999999997</v>
      </c>
      <c r="J133" s="59" t="s">
        <v>35</v>
      </c>
      <c r="K133" s="60" t="s">
        <v>35</v>
      </c>
      <c r="L133" s="59">
        <f>I133</f>
        <v>257.21499999999997</v>
      </c>
      <c r="M133" s="104"/>
      <c r="N133" s="104"/>
      <c r="O133" s="104"/>
      <c r="P133" s="104"/>
      <c r="Q133" s="104"/>
      <c r="R133" s="107"/>
      <c r="S133" s="107"/>
      <c r="T133" s="107"/>
      <c r="U133" s="107"/>
      <c r="V133" s="107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7"/>
      <c r="AH133" s="107"/>
      <c r="AI133" s="107"/>
      <c r="AJ133" s="107"/>
      <c r="AK133" s="107"/>
      <c r="AL133" s="107"/>
      <c r="AM133" s="104"/>
      <c r="AN133" s="104"/>
      <c r="AO133" s="104"/>
      <c r="AP133" s="104"/>
      <c r="AQ133" s="104"/>
      <c r="AS133" s="57"/>
    </row>
    <row r="134" spans="1:45" ht="87.75" customHeight="1" x14ac:dyDescent="0.3">
      <c r="A134" s="109"/>
      <c r="B134" s="116"/>
      <c r="C134" s="118"/>
      <c r="D134" s="54" t="s">
        <v>261</v>
      </c>
      <c r="E134" s="54" t="s">
        <v>33</v>
      </c>
      <c r="F134" s="54">
        <v>0.09</v>
      </c>
      <c r="G134" s="58" t="s">
        <v>262</v>
      </c>
      <c r="H134" s="59">
        <v>15505.16</v>
      </c>
      <c r="I134" s="59">
        <f>F134*H134</f>
        <v>1395.4643999999998</v>
      </c>
      <c r="J134" s="59" t="s">
        <v>35</v>
      </c>
      <c r="K134" s="60" t="s">
        <v>35</v>
      </c>
      <c r="L134" s="59">
        <f>I134</f>
        <v>1395.4643999999998</v>
      </c>
      <c r="M134" s="104"/>
      <c r="N134" s="104"/>
      <c r="O134" s="104"/>
      <c r="P134" s="104"/>
      <c r="Q134" s="104"/>
      <c r="R134" s="107"/>
      <c r="S134" s="107"/>
      <c r="T134" s="107"/>
      <c r="U134" s="107"/>
      <c r="V134" s="107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7"/>
      <c r="AH134" s="107"/>
      <c r="AI134" s="107"/>
      <c r="AJ134" s="107"/>
      <c r="AK134" s="107"/>
      <c r="AL134" s="107"/>
      <c r="AM134" s="104"/>
      <c r="AN134" s="104"/>
      <c r="AO134" s="104"/>
      <c r="AP134" s="104"/>
      <c r="AQ134" s="104"/>
      <c r="AS134" s="57"/>
    </row>
    <row r="135" spans="1:45" ht="87.75" customHeight="1" x14ac:dyDescent="0.3">
      <c r="A135" s="109"/>
      <c r="B135" s="116"/>
      <c r="C135" s="119"/>
      <c r="D135" s="54" t="s">
        <v>263</v>
      </c>
      <c r="E135" s="54" t="s">
        <v>38</v>
      </c>
      <c r="F135" s="54">
        <v>1</v>
      </c>
      <c r="G135" s="58" t="s">
        <v>264</v>
      </c>
      <c r="H135" s="59">
        <v>2127.5100000000002</v>
      </c>
      <c r="I135" s="59">
        <v>2127.5100000000002</v>
      </c>
      <c r="J135" s="59" t="s">
        <v>35</v>
      </c>
      <c r="K135" s="59" t="s">
        <v>35</v>
      </c>
      <c r="L135" s="59">
        <f>I135</f>
        <v>2127.5100000000002</v>
      </c>
      <c r="M135" s="105"/>
      <c r="N135" s="105"/>
      <c r="O135" s="105"/>
      <c r="P135" s="105"/>
      <c r="Q135" s="105"/>
      <c r="R135" s="108"/>
      <c r="S135" s="108"/>
      <c r="T135" s="108"/>
      <c r="U135" s="108"/>
      <c r="V135" s="108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5"/>
      <c r="AG135" s="108"/>
      <c r="AH135" s="108"/>
      <c r="AI135" s="108"/>
      <c r="AJ135" s="108"/>
      <c r="AK135" s="108"/>
      <c r="AL135" s="108"/>
      <c r="AM135" s="105"/>
      <c r="AN135" s="105"/>
      <c r="AO135" s="105"/>
      <c r="AP135" s="105"/>
      <c r="AQ135" s="105"/>
      <c r="AS135" s="57"/>
    </row>
    <row r="136" spans="1:45" ht="82.5" customHeight="1" x14ac:dyDescent="0.25">
      <c r="A136" s="109">
        <v>37</v>
      </c>
      <c r="B136" s="116" t="s">
        <v>277</v>
      </c>
      <c r="C136" s="117">
        <v>6</v>
      </c>
      <c r="D136" s="54" t="s">
        <v>206</v>
      </c>
      <c r="E136" s="54" t="s">
        <v>33</v>
      </c>
      <c r="F136" s="54">
        <v>1.2</v>
      </c>
      <c r="G136" s="58" t="s">
        <v>271</v>
      </c>
      <c r="H136" s="59">
        <v>1929.53</v>
      </c>
      <c r="I136" s="59">
        <f>H136*F136</f>
        <v>2315.4359999999997</v>
      </c>
      <c r="J136" s="59" t="s">
        <v>207</v>
      </c>
      <c r="K136" s="60">
        <v>1.62</v>
      </c>
      <c r="L136" s="59">
        <f>I136*K136</f>
        <v>3751.00632</v>
      </c>
      <c r="M136" s="103" t="s">
        <v>211</v>
      </c>
      <c r="N136" s="103" t="s">
        <v>211</v>
      </c>
      <c r="O136" s="103" t="s">
        <v>211</v>
      </c>
      <c r="P136" s="103" t="s">
        <v>211</v>
      </c>
      <c r="Q136" s="103" t="s">
        <v>211</v>
      </c>
      <c r="R136" s="103" t="s">
        <v>211</v>
      </c>
      <c r="S136" s="103" t="s">
        <v>211</v>
      </c>
      <c r="T136" s="103" t="s">
        <v>211</v>
      </c>
      <c r="U136" s="103" t="s">
        <v>211</v>
      </c>
      <c r="V136" s="103" t="s">
        <v>211</v>
      </c>
      <c r="W136" s="103" t="s">
        <v>211</v>
      </c>
      <c r="X136" s="103" t="s">
        <v>211</v>
      </c>
      <c r="Y136" s="103" t="s">
        <v>211</v>
      </c>
      <c r="Z136" s="103" t="s">
        <v>211</v>
      </c>
      <c r="AA136" s="103" t="s">
        <v>211</v>
      </c>
      <c r="AB136" s="103" t="s">
        <v>211</v>
      </c>
      <c r="AC136" s="103" t="s">
        <v>211</v>
      </c>
      <c r="AD136" s="103">
        <f>SUM(L136:L140)*1.2</f>
        <v>12572.449632000002</v>
      </c>
      <c r="AE136" s="103">
        <f>AD136</f>
        <v>12572.449632000002</v>
      </c>
      <c r="AF136" s="103">
        <f>AE136</f>
        <v>12572.449632000002</v>
      </c>
      <c r="AG136" s="106">
        <v>1.0740000000000001</v>
      </c>
      <c r="AH136" s="106">
        <v>1.0609999999999999</v>
      </c>
      <c r="AI136" s="106">
        <v>1.0529999999999999</v>
      </c>
      <c r="AJ136" s="106">
        <v>1.0449999999999999</v>
      </c>
      <c r="AK136" s="106">
        <v>1.0449999999999999</v>
      </c>
      <c r="AL136" s="106">
        <v>1.0449999999999999</v>
      </c>
      <c r="AM136" s="103">
        <v>0</v>
      </c>
      <c r="AN136" s="103">
        <v>0</v>
      </c>
      <c r="AO136" s="103">
        <v>0</v>
      </c>
      <c r="AP136" s="103">
        <v>0</v>
      </c>
      <c r="AQ136" s="103">
        <f>AD136-(1.2*(L136+L137+L138+L139+L140))</f>
        <v>0</v>
      </c>
      <c r="AS136" s="31"/>
    </row>
    <row r="137" spans="1:45" ht="63.75" customHeight="1" x14ac:dyDescent="0.25">
      <c r="A137" s="109"/>
      <c r="B137" s="116"/>
      <c r="C137" s="118"/>
      <c r="D137" s="54" t="s">
        <v>151</v>
      </c>
      <c r="E137" s="54" t="s">
        <v>42</v>
      </c>
      <c r="F137" s="54">
        <v>39</v>
      </c>
      <c r="G137" s="58" t="s">
        <v>43</v>
      </c>
      <c r="H137" s="59">
        <v>37.99</v>
      </c>
      <c r="I137" s="59">
        <f t="shared" ref="I137:I138" si="95">H137*F137</f>
        <v>1481.6100000000001</v>
      </c>
      <c r="J137" s="59" t="s">
        <v>207</v>
      </c>
      <c r="K137" s="60">
        <v>1.62</v>
      </c>
      <c r="L137" s="59">
        <f t="shared" ref="L137" si="96">I137*K137</f>
        <v>2400.2082000000005</v>
      </c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7"/>
      <c r="AH137" s="107"/>
      <c r="AI137" s="107"/>
      <c r="AJ137" s="107"/>
      <c r="AK137" s="107"/>
      <c r="AL137" s="107"/>
      <c r="AM137" s="104"/>
      <c r="AN137" s="104"/>
      <c r="AO137" s="104"/>
      <c r="AP137" s="104"/>
      <c r="AQ137" s="104"/>
      <c r="AS137" s="31"/>
    </row>
    <row r="138" spans="1:45" ht="64.5" customHeight="1" x14ac:dyDescent="0.25">
      <c r="A138" s="109"/>
      <c r="B138" s="116"/>
      <c r="C138" s="118"/>
      <c r="D138" s="54" t="s">
        <v>272</v>
      </c>
      <c r="E138" s="54" t="s">
        <v>82</v>
      </c>
      <c r="F138" s="54">
        <v>1</v>
      </c>
      <c r="G138" s="58" t="s">
        <v>273</v>
      </c>
      <c r="H138" s="59">
        <v>1124</v>
      </c>
      <c r="I138" s="59">
        <f t="shared" si="95"/>
        <v>1124</v>
      </c>
      <c r="J138" s="59" t="s">
        <v>227</v>
      </c>
      <c r="K138" s="60">
        <v>1.41</v>
      </c>
      <c r="L138" s="59">
        <f t="shared" ref="L138" si="97">H138*K138</f>
        <v>1584.84</v>
      </c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7"/>
      <c r="AH138" s="107"/>
      <c r="AI138" s="107"/>
      <c r="AJ138" s="107"/>
      <c r="AK138" s="107"/>
      <c r="AL138" s="107"/>
      <c r="AM138" s="104"/>
      <c r="AN138" s="104"/>
      <c r="AO138" s="104"/>
      <c r="AP138" s="104"/>
      <c r="AQ138" s="104"/>
      <c r="AS138" s="31"/>
    </row>
    <row r="139" spans="1:45" ht="78.75" customHeight="1" x14ac:dyDescent="0.25">
      <c r="A139" s="109"/>
      <c r="B139" s="116"/>
      <c r="C139" s="118"/>
      <c r="D139" s="54" t="s">
        <v>274</v>
      </c>
      <c r="E139" s="54" t="s">
        <v>33</v>
      </c>
      <c r="F139" s="54">
        <v>1.2</v>
      </c>
      <c r="G139" s="58" t="s">
        <v>275</v>
      </c>
      <c r="H139" s="59">
        <v>1487.23</v>
      </c>
      <c r="I139" s="59">
        <f>H139*F139</f>
        <v>1784.6759999999999</v>
      </c>
      <c r="J139" s="59" t="s">
        <v>195</v>
      </c>
      <c r="K139" s="60">
        <v>1.0900000000000001</v>
      </c>
      <c r="L139" s="59">
        <f>I139*K139</f>
        <v>1945.29684</v>
      </c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7"/>
      <c r="AH139" s="107"/>
      <c r="AI139" s="107"/>
      <c r="AJ139" s="107"/>
      <c r="AK139" s="107"/>
      <c r="AL139" s="107"/>
      <c r="AM139" s="104"/>
      <c r="AN139" s="104"/>
      <c r="AO139" s="104"/>
      <c r="AP139" s="104"/>
      <c r="AQ139" s="104"/>
      <c r="AS139" s="31"/>
    </row>
    <row r="140" spans="1:45" ht="82.5" customHeight="1" x14ac:dyDescent="0.25">
      <c r="A140" s="109"/>
      <c r="B140" s="116"/>
      <c r="C140" s="119"/>
      <c r="D140" s="54" t="s">
        <v>120</v>
      </c>
      <c r="E140" s="54" t="s">
        <v>38</v>
      </c>
      <c r="F140" s="54">
        <v>1</v>
      </c>
      <c r="G140" s="58" t="s">
        <v>276</v>
      </c>
      <c r="H140" s="59">
        <v>795.69</v>
      </c>
      <c r="I140" s="59">
        <v>795.69</v>
      </c>
      <c r="J140" s="59" t="s">
        <v>35</v>
      </c>
      <c r="K140" s="60" t="s">
        <v>35</v>
      </c>
      <c r="L140" s="59">
        <v>795.69</v>
      </c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8"/>
      <c r="AH140" s="108"/>
      <c r="AI140" s="108"/>
      <c r="AJ140" s="108"/>
      <c r="AK140" s="108"/>
      <c r="AL140" s="108"/>
      <c r="AM140" s="105"/>
      <c r="AN140" s="105"/>
      <c r="AO140" s="105"/>
      <c r="AP140" s="105"/>
      <c r="AQ140" s="105"/>
      <c r="AS140" s="31"/>
    </row>
    <row r="141" spans="1:45" ht="82.5" customHeight="1" x14ac:dyDescent="0.25">
      <c r="A141" s="109">
        <v>38</v>
      </c>
      <c r="B141" s="116" t="s">
        <v>282</v>
      </c>
      <c r="C141" s="117" t="s">
        <v>278</v>
      </c>
      <c r="D141" s="54" t="s">
        <v>206</v>
      </c>
      <c r="E141" s="54" t="s">
        <v>33</v>
      </c>
      <c r="F141" s="54">
        <v>0.97599999999999998</v>
      </c>
      <c r="G141" s="58" t="s">
        <v>205</v>
      </c>
      <c r="H141" s="59">
        <v>1929.53</v>
      </c>
      <c r="I141" s="59">
        <f>H141*F141</f>
        <v>1883.22128</v>
      </c>
      <c r="J141" s="59" t="s">
        <v>207</v>
      </c>
      <c r="K141" s="60">
        <v>1.62</v>
      </c>
      <c r="L141" s="59">
        <f>I141*K141</f>
        <v>3050.8184736000003</v>
      </c>
      <c r="M141" s="103" t="s">
        <v>211</v>
      </c>
      <c r="N141" s="103" t="s">
        <v>211</v>
      </c>
      <c r="O141" s="103" t="s">
        <v>211</v>
      </c>
      <c r="P141" s="103" t="s">
        <v>211</v>
      </c>
      <c r="Q141" s="103" t="s">
        <v>211</v>
      </c>
      <c r="R141" s="103" t="s">
        <v>211</v>
      </c>
      <c r="S141" s="103" t="s">
        <v>211</v>
      </c>
      <c r="T141" s="103" t="s">
        <v>211</v>
      </c>
      <c r="U141" s="103" t="s">
        <v>211</v>
      </c>
      <c r="V141" s="103" t="s">
        <v>211</v>
      </c>
      <c r="W141" s="103" t="s">
        <v>211</v>
      </c>
      <c r="X141" s="103" t="s">
        <v>211</v>
      </c>
      <c r="Y141" s="103" t="s">
        <v>211</v>
      </c>
      <c r="Z141" s="103" t="s">
        <v>211</v>
      </c>
      <c r="AA141" s="103" t="s">
        <v>211</v>
      </c>
      <c r="AB141" s="103" t="s">
        <v>211</v>
      </c>
      <c r="AC141" s="103" t="s">
        <v>211</v>
      </c>
      <c r="AD141" s="103">
        <f>SUM(L141:L145)*1.2</f>
        <v>8961.3318921600003</v>
      </c>
      <c r="AE141" s="103">
        <f>AD141</f>
        <v>8961.3318921600003</v>
      </c>
      <c r="AF141" s="103">
        <f>AE141</f>
        <v>8961.3318921600003</v>
      </c>
      <c r="AG141" s="106">
        <v>1.0740000000000001</v>
      </c>
      <c r="AH141" s="106">
        <v>1.0609999999999999</v>
      </c>
      <c r="AI141" s="106">
        <v>1.0529999999999999</v>
      </c>
      <c r="AJ141" s="106">
        <v>1.0449999999999999</v>
      </c>
      <c r="AK141" s="106">
        <v>1.0449999999999999</v>
      </c>
      <c r="AL141" s="106">
        <v>1.0449999999999999</v>
      </c>
      <c r="AM141" s="103">
        <v>0</v>
      </c>
      <c r="AN141" s="103">
        <v>0</v>
      </c>
      <c r="AO141" s="103">
        <v>0</v>
      </c>
      <c r="AP141" s="103">
        <v>0</v>
      </c>
      <c r="AQ141" s="103">
        <v>0</v>
      </c>
      <c r="AS141" s="31"/>
    </row>
    <row r="142" spans="1:45" ht="63.75" customHeight="1" x14ac:dyDescent="0.25">
      <c r="A142" s="109"/>
      <c r="B142" s="116"/>
      <c r="C142" s="118"/>
      <c r="D142" s="54" t="s">
        <v>151</v>
      </c>
      <c r="E142" s="54" t="s">
        <v>42</v>
      </c>
      <c r="F142" s="54">
        <v>31.5</v>
      </c>
      <c r="G142" s="58" t="s">
        <v>152</v>
      </c>
      <c r="H142" s="59">
        <v>37.99</v>
      </c>
      <c r="I142" s="59">
        <f t="shared" ref="I142:I144" si="98">H142*F142</f>
        <v>1196.6850000000002</v>
      </c>
      <c r="J142" s="59" t="s">
        <v>207</v>
      </c>
      <c r="K142" s="60">
        <v>1.62</v>
      </c>
      <c r="L142" s="59">
        <f>I142*K142</f>
        <v>1938.6297000000004</v>
      </c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7"/>
      <c r="AH142" s="107"/>
      <c r="AI142" s="107"/>
      <c r="AJ142" s="107"/>
      <c r="AK142" s="107"/>
      <c r="AL142" s="107"/>
      <c r="AM142" s="104"/>
      <c r="AN142" s="104"/>
      <c r="AO142" s="104"/>
      <c r="AP142" s="104"/>
      <c r="AQ142" s="104"/>
      <c r="AS142" s="31"/>
    </row>
    <row r="143" spans="1:45" ht="64.5" customHeight="1" x14ac:dyDescent="0.25">
      <c r="A143" s="109"/>
      <c r="B143" s="116"/>
      <c r="C143" s="118"/>
      <c r="D143" s="54" t="s">
        <v>274</v>
      </c>
      <c r="E143" s="54" t="s">
        <v>33</v>
      </c>
      <c r="F143" s="54">
        <v>0.97599999999999998</v>
      </c>
      <c r="G143" s="58" t="s">
        <v>275</v>
      </c>
      <c r="H143" s="59">
        <v>1487.23</v>
      </c>
      <c r="I143" s="59">
        <f t="shared" si="98"/>
        <v>1451.53648</v>
      </c>
      <c r="J143" s="59" t="s">
        <v>195</v>
      </c>
      <c r="K143" s="60">
        <v>1.0900000000000001</v>
      </c>
      <c r="L143" s="59">
        <f t="shared" ref="L143" si="99">I143*K143</f>
        <v>1582.1747632000001</v>
      </c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7"/>
      <c r="AH143" s="107"/>
      <c r="AI143" s="107"/>
      <c r="AJ143" s="107"/>
      <c r="AK143" s="107"/>
      <c r="AL143" s="107"/>
      <c r="AM143" s="104"/>
      <c r="AN143" s="104"/>
      <c r="AO143" s="104"/>
      <c r="AP143" s="104"/>
      <c r="AQ143" s="104"/>
      <c r="AS143" s="31"/>
    </row>
    <row r="144" spans="1:45" ht="54.75" customHeight="1" x14ac:dyDescent="0.25">
      <c r="A144" s="109"/>
      <c r="B144" s="116"/>
      <c r="C144" s="118"/>
      <c r="D144" s="54" t="s">
        <v>120</v>
      </c>
      <c r="E144" s="54" t="s">
        <v>38</v>
      </c>
      <c r="F144" s="54">
        <v>1</v>
      </c>
      <c r="G144" s="58" t="s">
        <v>276</v>
      </c>
      <c r="H144" s="59">
        <v>795.69</v>
      </c>
      <c r="I144" s="59">
        <f t="shared" si="98"/>
        <v>795.69</v>
      </c>
      <c r="J144" s="59" t="s">
        <v>35</v>
      </c>
      <c r="K144" s="60" t="s">
        <v>35</v>
      </c>
      <c r="L144" s="59">
        <f>I144</f>
        <v>795.69</v>
      </c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7"/>
      <c r="AH144" s="107"/>
      <c r="AI144" s="107"/>
      <c r="AJ144" s="107"/>
      <c r="AK144" s="107"/>
      <c r="AL144" s="107"/>
      <c r="AM144" s="104"/>
      <c r="AN144" s="104"/>
      <c r="AO144" s="104"/>
      <c r="AP144" s="104"/>
      <c r="AQ144" s="104"/>
      <c r="AS144" s="31"/>
    </row>
    <row r="145" spans="1:45" ht="82.5" customHeight="1" x14ac:dyDescent="0.25">
      <c r="A145" s="109"/>
      <c r="B145" s="116"/>
      <c r="C145" s="119"/>
      <c r="D145" s="54" t="s">
        <v>279</v>
      </c>
      <c r="E145" s="54" t="s">
        <v>33</v>
      </c>
      <c r="F145" s="54">
        <v>0.05</v>
      </c>
      <c r="G145" s="58" t="s">
        <v>280</v>
      </c>
      <c r="H145" s="59">
        <v>963.68</v>
      </c>
      <c r="I145" s="59">
        <v>72.275999999999996</v>
      </c>
      <c r="J145" s="59" t="s">
        <v>281</v>
      </c>
      <c r="K145" s="60">
        <v>1.39</v>
      </c>
      <c r="L145" s="59">
        <v>100.46363999999998</v>
      </c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5"/>
      <c r="AD145" s="105"/>
      <c r="AE145" s="105"/>
      <c r="AF145" s="105"/>
      <c r="AG145" s="108"/>
      <c r="AH145" s="108"/>
      <c r="AI145" s="108"/>
      <c r="AJ145" s="108"/>
      <c r="AK145" s="108"/>
      <c r="AL145" s="108"/>
      <c r="AM145" s="105"/>
      <c r="AN145" s="105"/>
      <c r="AO145" s="105"/>
      <c r="AP145" s="105"/>
      <c r="AQ145" s="105"/>
      <c r="AS145" s="31"/>
    </row>
    <row r="146" spans="1:45" ht="71.25" customHeight="1" x14ac:dyDescent="0.25">
      <c r="A146" s="109">
        <v>39</v>
      </c>
      <c r="B146" s="110" t="s">
        <v>283</v>
      </c>
      <c r="C146" s="113">
        <v>6</v>
      </c>
      <c r="D146" s="54" t="s">
        <v>41</v>
      </c>
      <c r="E146" s="54" t="s">
        <v>42</v>
      </c>
      <c r="F146" s="54">
        <v>296.8</v>
      </c>
      <c r="G146" s="58" t="s">
        <v>43</v>
      </c>
      <c r="H146" s="59">
        <v>24.86</v>
      </c>
      <c r="I146" s="59">
        <f>H146*F146</f>
        <v>7378.4480000000003</v>
      </c>
      <c r="J146" s="54" t="s">
        <v>194</v>
      </c>
      <c r="K146" s="54">
        <v>1.1100000000000001</v>
      </c>
      <c r="L146" s="59">
        <f>I146*K146</f>
        <v>8190.0772800000013</v>
      </c>
      <c r="M146" s="103" t="s">
        <v>211</v>
      </c>
      <c r="N146" s="103" t="s">
        <v>211</v>
      </c>
      <c r="O146" s="103" t="s">
        <v>211</v>
      </c>
      <c r="P146" s="103" t="s">
        <v>211</v>
      </c>
      <c r="Q146" s="103" t="s">
        <v>211</v>
      </c>
      <c r="R146" s="103" t="s">
        <v>211</v>
      </c>
      <c r="S146" s="103" t="s">
        <v>211</v>
      </c>
      <c r="T146" s="103" t="s">
        <v>211</v>
      </c>
      <c r="U146" s="103" t="s">
        <v>211</v>
      </c>
      <c r="V146" s="103" t="s">
        <v>211</v>
      </c>
      <c r="W146" s="103" t="s">
        <v>211</v>
      </c>
      <c r="X146" s="103" t="s">
        <v>211</v>
      </c>
      <c r="Y146" s="103" t="s">
        <v>211</v>
      </c>
      <c r="Z146" s="103" t="s">
        <v>211</v>
      </c>
      <c r="AA146" s="103" t="s">
        <v>211</v>
      </c>
      <c r="AB146" s="103" t="s">
        <v>211</v>
      </c>
      <c r="AC146" s="103" t="s">
        <v>211</v>
      </c>
      <c r="AD146" s="103">
        <f>SUM(L146:L151)*1.2</f>
        <v>59825.42290487999</v>
      </c>
      <c r="AE146" s="103">
        <f>AD146</f>
        <v>59825.42290487999</v>
      </c>
      <c r="AF146" s="103">
        <f>SUM(AM146:AQ151)</f>
        <v>68171.906956031409</v>
      </c>
      <c r="AG146" s="106">
        <v>1.0740000000000001</v>
      </c>
      <c r="AH146" s="106">
        <v>1.0609999999999999</v>
      </c>
      <c r="AI146" s="106">
        <v>1.0529999999999999</v>
      </c>
      <c r="AJ146" s="106">
        <v>1.0449999999999999</v>
      </c>
      <c r="AK146" s="106">
        <v>1.0449999999999999</v>
      </c>
      <c r="AL146" s="106">
        <v>1.0449999999999999</v>
      </c>
      <c r="AM146" s="103">
        <f>SUM(L146:L151)*1.2*AG146*AH146</f>
        <v>68171.906956031409</v>
      </c>
      <c r="AN146" s="103">
        <v>0</v>
      </c>
      <c r="AO146" s="103">
        <v>0</v>
      </c>
      <c r="AP146" s="103">
        <v>0</v>
      </c>
      <c r="AQ146" s="103">
        <v>0</v>
      </c>
      <c r="AS146" s="31"/>
    </row>
    <row r="147" spans="1:45" ht="48.75" customHeight="1" x14ac:dyDescent="0.25">
      <c r="A147" s="109"/>
      <c r="B147" s="111"/>
      <c r="C147" s="114"/>
      <c r="D147" s="54" t="s">
        <v>284</v>
      </c>
      <c r="E147" s="54" t="s">
        <v>33</v>
      </c>
      <c r="F147" s="54">
        <v>8.4949999999999992</v>
      </c>
      <c r="G147" s="58" t="s">
        <v>285</v>
      </c>
      <c r="H147" s="59">
        <v>1109.82</v>
      </c>
      <c r="I147" s="59">
        <f t="shared" ref="I147:I149" si="100">H147*F147</f>
        <v>9427.9208999999992</v>
      </c>
      <c r="J147" s="59" t="s">
        <v>201</v>
      </c>
      <c r="K147" s="60">
        <v>1.1000000000000001</v>
      </c>
      <c r="L147" s="59">
        <f t="shared" ref="L147:L149" si="101">I147*K147</f>
        <v>10370.71299</v>
      </c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7"/>
      <c r="AH147" s="107"/>
      <c r="AI147" s="107"/>
      <c r="AJ147" s="107"/>
      <c r="AK147" s="107"/>
      <c r="AL147" s="107"/>
      <c r="AM147" s="104"/>
      <c r="AN147" s="104"/>
      <c r="AO147" s="104"/>
      <c r="AP147" s="104"/>
      <c r="AQ147" s="104"/>
      <c r="AS147" s="31"/>
    </row>
    <row r="148" spans="1:45" ht="36.75" customHeight="1" x14ac:dyDescent="0.25">
      <c r="A148" s="109"/>
      <c r="B148" s="111"/>
      <c r="C148" s="114"/>
      <c r="D148" s="54" t="s">
        <v>286</v>
      </c>
      <c r="E148" s="54" t="s">
        <v>33</v>
      </c>
      <c r="F148" s="54">
        <v>0.20799999999999999</v>
      </c>
      <c r="G148" s="58" t="s">
        <v>287</v>
      </c>
      <c r="H148" s="59">
        <v>3451.82</v>
      </c>
      <c r="I148" s="59">
        <f t="shared" si="100"/>
        <v>717.97856000000002</v>
      </c>
      <c r="J148" s="54" t="s">
        <v>198</v>
      </c>
      <c r="K148" s="60">
        <v>1.59</v>
      </c>
      <c r="L148" s="59">
        <f t="shared" si="101"/>
        <v>1141.5859104000001</v>
      </c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7"/>
      <c r="AH148" s="107"/>
      <c r="AI148" s="107"/>
      <c r="AJ148" s="107"/>
      <c r="AK148" s="107"/>
      <c r="AL148" s="107"/>
      <c r="AM148" s="104"/>
      <c r="AN148" s="104"/>
      <c r="AO148" s="104"/>
      <c r="AP148" s="104"/>
      <c r="AQ148" s="104"/>
      <c r="AS148" s="31"/>
    </row>
    <row r="149" spans="1:45" ht="78.75" customHeight="1" x14ac:dyDescent="0.25">
      <c r="A149" s="109"/>
      <c r="B149" s="111"/>
      <c r="C149" s="114"/>
      <c r="D149" s="54" t="s">
        <v>206</v>
      </c>
      <c r="E149" s="54" t="s">
        <v>33</v>
      </c>
      <c r="F149" s="54">
        <v>8.4949999999999992</v>
      </c>
      <c r="G149" s="58" t="s">
        <v>271</v>
      </c>
      <c r="H149" s="59">
        <v>1929.53</v>
      </c>
      <c r="I149" s="59">
        <f t="shared" si="100"/>
        <v>16391.357349999998</v>
      </c>
      <c r="J149" s="59" t="s">
        <v>207</v>
      </c>
      <c r="K149" s="60">
        <v>1.62</v>
      </c>
      <c r="L149" s="59">
        <f t="shared" si="101"/>
        <v>26553.998906999997</v>
      </c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7"/>
      <c r="AH149" s="107"/>
      <c r="AI149" s="107"/>
      <c r="AJ149" s="107"/>
      <c r="AK149" s="107"/>
      <c r="AL149" s="107"/>
      <c r="AM149" s="104"/>
      <c r="AN149" s="104"/>
      <c r="AO149" s="104"/>
      <c r="AP149" s="104"/>
      <c r="AQ149" s="104"/>
      <c r="AS149" s="31"/>
    </row>
    <row r="150" spans="1:45" ht="78.75" customHeight="1" x14ac:dyDescent="0.25">
      <c r="A150" s="109"/>
      <c r="B150" s="111"/>
      <c r="C150" s="114"/>
      <c r="D150" s="54" t="s">
        <v>196</v>
      </c>
      <c r="E150" s="54" t="s">
        <v>44</v>
      </c>
      <c r="F150" s="54">
        <v>0.87</v>
      </c>
      <c r="G150" s="58" t="s">
        <v>204</v>
      </c>
      <c r="H150" s="59">
        <v>355.2</v>
      </c>
      <c r="I150" s="59">
        <f>H150*F150</f>
        <v>309.024</v>
      </c>
      <c r="J150" s="59" t="s">
        <v>35</v>
      </c>
      <c r="K150" s="60" t="s">
        <v>35</v>
      </c>
      <c r="L150" s="59">
        <f>I150</f>
        <v>309.024</v>
      </c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7"/>
      <c r="AH150" s="107"/>
      <c r="AI150" s="107"/>
      <c r="AJ150" s="107"/>
      <c r="AK150" s="107"/>
      <c r="AL150" s="107"/>
      <c r="AM150" s="104"/>
      <c r="AN150" s="104"/>
      <c r="AO150" s="104"/>
      <c r="AP150" s="104"/>
      <c r="AQ150" s="104"/>
      <c r="AS150" s="31"/>
    </row>
    <row r="151" spans="1:45" ht="45.75" customHeight="1" x14ac:dyDescent="0.25">
      <c r="A151" s="109"/>
      <c r="B151" s="112"/>
      <c r="C151" s="115"/>
      <c r="D151" s="54" t="s">
        <v>246</v>
      </c>
      <c r="E151" s="54" t="s">
        <v>160</v>
      </c>
      <c r="F151" s="54">
        <v>1</v>
      </c>
      <c r="G151" s="58" t="s">
        <v>288</v>
      </c>
      <c r="H151" s="59">
        <v>3289.12</v>
      </c>
      <c r="I151" s="59">
        <f>H151</f>
        <v>3289.12</v>
      </c>
      <c r="J151" s="54" t="s">
        <v>35</v>
      </c>
      <c r="K151" s="54" t="s">
        <v>35</v>
      </c>
      <c r="L151" s="59">
        <f>I151</f>
        <v>3289.12</v>
      </c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5"/>
      <c r="AD151" s="105"/>
      <c r="AE151" s="105"/>
      <c r="AF151" s="105"/>
      <c r="AG151" s="108"/>
      <c r="AH151" s="108"/>
      <c r="AI151" s="108"/>
      <c r="AJ151" s="108"/>
      <c r="AK151" s="108"/>
      <c r="AL151" s="108"/>
      <c r="AM151" s="105"/>
      <c r="AN151" s="105"/>
      <c r="AO151" s="105"/>
      <c r="AP151" s="105"/>
      <c r="AQ151" s="105"/>
      <c r="AS151" s="31"/>
    </row>
    <row r="152" spans="1:45" ht="39.75" customHeight="1" x14ac:dyDescent="0.25">
      <c r="A152" s="109">
        <v>40</v>
      </c>
      <c r="B152" s="110" t="s">
        <v>289</v>
      </c>
      <c r="C152" s="113">
        <v>6</v>
      </c>
      <c r="D152" s="54" t="s">
        <v>290</v>
      </c>
      <c r="E152" s="54" t="s">
        <v>33</v>
      </c>
      <c r="F152" s="54">
        <v>1.4E-2</v>
      </c>
      <c r="G152" s="58" t="s">
        <v>245</v>
      </c>
      <c r="H152" s="59">
        <v>3411.85</v>
      </c>
      <c r="I152" s="59">
        <f>H152*F152</f>
        <v>47.765900000000002</v>
      </c>
      <c r="J152" s="59" t="s">
        <v>198</v>
      </c>
      <c r="K152" s="60">
        <v>1.59</v>
      </c>
      <c r="L152" s="59">
        <f>I152*K152</f>
        <v>75.947781000000006</v>
      </c>
      <c r="M152" s="103" t="s">
        <v>211</v>
      </c>
      <c r="N152" s="103" t="s">
        <v>211</v>
      </c>
      <c r="O152" s="103" t="s">
        <v>211</v>
      </c>
      <c r="P152" s="103" t="s">
        <v>211</v>
      </c>
      <c r="Q152" s="103" t="s">
        <v>211</v>
      </c>
      <c r="R152" s="106" t="s">
        <v>211</v>
      </c>
      <c r="S152" s="106" t="s">
        <v>211</v>
      </c>
      <c r="T152" s="106" t="s">
        <v>211</v>
      </c>
      <c r="U152" s="106" t="s">
        <v>211</v>
      </c>
      <c r="V152" s="106" t="s">
        <v>211</v>
      </c>
      <c r="W152" s="103" t="s">
        <v>211</v>
      </c>
      <c r="X152" s="103" t="s">
        <v>211</v>
      </c>
      <c r="Y152" s="103" t="s">
        <v>211</v>
      </c>
      <c r="Z152" s="103" t="s">
        <v>211</v>
      </c>
      <c r="AA152" s="103" t="s">
        <v>211</v>
      </c>
      <c r="AB152" s="103" t="s">
        <v>211</v>
      </c>
      <c r="AC152" s="103" t="s">
        <v>211</v>
      </c>
      <c r="AD152" s="103">
        <f>SUM(L152:L154)*1.2</f>
        <v>2782.5730572000002</v>
      </c>
      <c r="AE152" s="103">
        <f>AD152</f>
        <v>2782.5730572000002</v>
      </c>
      <c r="AF152" s="103">
        <f>SUM(AM152:AQ154)</f>
        <v>3170.7809547022011</v>
      </c>
      <c r="AG152" s="106">
        <v>1.0740000000000001</v>
      </c>
      <c r="AH152" s="106">
        <v>1.0609999999999999</v>
      </c>
      <c r="AI152" s="106">
        <v>1.0529999999999999</v>
      </c>
      <c r="AJ152" s="106">
        <v>1.0449999999999999</v>
      </c>
      <c r="AK152" s="106">
        <v>1.0449999999999999</v>
      </c>
      <c r="AL152" s="106">
        <v>1.0449999999999999</v>
      </c>
      <c r="AM152" s="103">
        <f>AD152*AG152*AH152</f>
        <v>3170.7809547022011</v>
      </c>
      <c r="AN152" s="103">
        <v>0</v>
      </c>
      <c r="AO152" s="103">
        <v>0</v>
      </c>
      <c r="AP152" s="103">
        <v>0</v>
      </c>
      <c r="AQ152" s="103">
        <v>0</v>
      </c>
      <c r="AS152" s="31"/>
    </row>
    <row r="153" spans="1:45" ht="69.75" customHeight="1" x14ac:dyDescent="0.25">
      <c r="A153" s="109"/>
      <c r="B153" s="111"/>
      <c r="C153" s="114"/>
      <c r="D153" s="54" t="s">
        <v>225</v>
      </c>
      <c r="E153" s="54" t="s">
        <v>82</v>
      </c>
      <c r="F153" s="54">
        <v>1</v>
      </c>
      <c r="G153" s="58" t="s">
        <v>226</v>
      </c>
      <c r="H153" s="59">
        <v>1288.9100000000001</v>
      </c>
      <c r="I153" s="59">
        <f t="shared" ref="I153" si="102">H153*F153</f>
        <v>1288.9100000000001</v>
      </c>
      <c r="J153" s="59" t="s">
        <v>227</v>
      </c>
      <c r="K153" s="60">
        <v>1.41</v>
      </c>
      <c r="L153" s="59">
        <f t="shared" ref="L153" si="103">H153*K153</f>
        <v>1817.3631</v>
      </c>
      <c r="M153" s="104"/>
      <c r="N153" s="104"/>
      <c r="O153" s="104"/>
      <c r="P153" s="104"/>
      <c r="Q153" s="104"/>
      <c r="R153" s="107"/>
      <c r="S153" s="107"/>
      <c r="T153" s="107"/>
      <c r="U153" s="107"/>
      <c r="V153" s="107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7"/>
      <c r="AH153" s="107"/>
      <c r="AI153" s="107"/>
      <c r="AJ153" s="107"/>
      <c r="AK153" s="107"/>
      <c r="AL153" s="107"/>
      <c r="AM153" s="104"/>
      <c r="AN153" s="104"/>
      <c r="AO153" s="104"/>
      <c r="AP153" s="104"/>
      <c r="AQ153" s="104"/>
      <c r="AS153" s="31"/>
    </row>
    <row r="154" spans="1:45" ht="79.5" customHeight="1" x14ac:dyDescent="0.25">
      <c r="A154" s="109"/>
      <c r="B154" s="112"/>
      <c r="C154" s="115"/>
      <c r="D154" s="54" t="s">
        <v>219</v>
      </c>
      <c r="E154" s="54" t="s">
        <v>38</v>
      </c>
      <c r="F154" s="54">
        <v>1</v>
      </c>
      <c r="G154" s="58" t="s">
        <v>291</v>
      </c>
      <c r="H154" s="59">
        <v>425.5</v>
      </c>
      <c r="I154" s="59">
        <v>425.5</v>
      </c>
      <c r="J154" s="59" t="s">
        <v>35</v>
      </c>
      <c r="K154" s="59" t="s">
        <v>35</v>
      </c>
      <c r="L154" s="59">
        <f>I154</f>
        <v>425.5</v>
      </c>
      <c r="M154" s="105"/>
      <c r="N154" s="105"/>
      <c r="O154" s="105"/>
      <c r="P154" s="105"/>
      <c r="Q154" s="105"/>
      <c r="R154" s="108"/>
      <c r="S154" s="108"/>
      <c r="T154" s="108"/>
      <c r="U154" s="108"/>
      <c r="V154" s="108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8"/>
      <c r="AH154" s="108"/>
      <c r="AI154" s="108"/>
      <c r="AJ154" s="108"/>
      <c r="AK154" s="108"/>
      <c r="AL154" s="108"/>
      <c r="AM154" s="105"/>
      <c r="AN154" s="105"/>
      <c r="AO154" s="105"/>
      <c r="AP154" s="105"/>
      <c r="AQ154" s="105"/>
      <c r="AS154" s="31"/>
    </row>
    <row r="155" spans="1:45" ht="54" customHeight="1" x14ac:dyDescent="0.25">
      <c r="A155" s="109">
        <v>41</v>
      </c>
      <c r="B155" s="110" t="s">
        <v>292</v>
      </c>
      <c r="C155" s="113">
        <v>6</v>
      </c>
      <c r="D155" s="54" t="s">
        <v>290</v>
      </c>
      <c r="E155" s="54" t="s">
        <v>33</v>
      </c>
      <c r="F155" s="54">
        <v>0.26</v>
      </c>
      <c r="G155" s="58" t="s">
        <v>293</v>
      </c>
      <c r="H155" s="59">
        <v>3411.85</v>
      </c>
      <c r="I155" s="59">
        <f t="shared" ref="I155" si="104">H155*F155</f>
        <v>887.08100000000002</v>
      </c>
      <c r="J155" s="54" t="s">
        <v>198</v>
      </c>
      <c r="K155" s="60">
        <v>1.59</v>
      </c>
      <c r="L155" s="59">
        <f t="shared" ref="L155" si="105">I155*K155</f>
        <v>1410.4587900000001</v>
      </c>
      <c r="M155" s="103" t="s">
        <v>211</v>
      </c>
      <c r="N155" s="103" t="s">
        <v>211</v>
      </c>
      <c r="O155" s="103" t="s">
        <v>211</v>
      </c>
      <c r="P155" s="103" t="s">
        <v>211</v>
      </c>
      <c r="Q155" s="103" t="s">
        <v>211</v>
      </c>
      <c r="R155" s="106" t="s">
        <v>211</v>
      </c>
      <c r="S155" s="106" t="s">
        <v>211</v>
      </c>
      <c r="T155" s="106" t="s">
        <v>211</v>
      </c>
      <c r="U155" s="106" t="s">
        <v>211</v>
      </c>
      <c r="V155" s="106" t="s">
        <v>211</v>
      </c>
      <c r="W155" s="103">
        <v>0</v>
      </c>
      <c r="X155" s="103">
        <v>0</v>
      </c>
      <c r="Y155" s="103" t="s">
        <v>211</v>
      </c>
      <c r="Z155" s="103">
        <v>0</v>
      </c>
      <c r="AA155" s="103">
        <v>0</v>
      </c>
      <c r="AB155" s="103">
        <v>0</v>
      </c>
      <c r="AC155" s="103">
        <v>0</v>
      </c>
      <c r="AD155" s="103">
        <f>SUM(L155:L157)*1.2</f>
        <v>2796.4065480000004</v>
      </c>
      <c r="AE155" s="103">
        <f>AD155</f>
        <v>2796.4065480000004</v>
      </c>
      <c r="AF155" s="103">
        <f>SUM(AM155:AQ157)</f>
        <v>3186.5444111376723</v>
      </c>
      <c r="AG155" s="106">
        <v>1.0740000000000001</v>
      </c>
      <c r="AH155" s="106">
        <v>1.0609999999999999</v>
      </c>
      <c r="AI155" s="106">
        <v>1.0529999999999999</v>
      </c>
      <c r="AJ155" s="106">
        <v>1.0449999999999999</v>
      </c>
      <c r="AK155" s="106">
        <v>1.0449999999999999</v>
      </c>
      <c r="AL155" s="106">
        <v>1.0449999999999999</v>
      </c>
      <c r="AM155" s="103">
        <f>AD155*AG155*AH155</f>
        <v>3186.5444111376723</v>
      </c>
      <c r="AN155" s="103">
        <v>0</v>
      </c>
      <c r="AO155" s="103">
        <v>0</v>
      </c>
      <c r="AP155" s="103">
        <v>0</v>
      </c>
      <c r="AQ155" s="103">
        <v>0</v>
      </c>
      <c r="AS155" s="31"/>
    </row>
    <row r="156" spans="1:45" ht="79.5" customHeight="1" x14ac:dyDescent="0.25">
      <c r="A156" s="109"/>
      <c r="B156" s="111"/>
      <c r="C156" s="114"/>
      <c r="D156" s="54" t="s">
        <v>196</v>
      </c>
      <c r="E156" s="54" t="s">
        <v>44</v>
      </c>
      <c r="F156" s="54">
        <v>0.15</v>
      </c>
      <c r="G156" s="58" t="s">
        <v>204</v>
      </c>
      <c r="H156" s="59">
        <v>355.2</v>
      </c>
      <c r="I156" s="59">
        <f>H156*F156</f>
        <v>53.279999999999994</v>
      </c>
      <c r="J156" s="59" t="s">
        <v>35</v>
      </c>
      <c r="K156" s="60" t="s">
        <v>35</v>
      </c>
      <c r="L156" s="59">
        <f>I156</f>
        <v>53.279999999999994</v>
      </c>
      <c r="M156" s="104"/>
      <c r="N156" s="104"/>
      <c r="O156" s="104"/>
      <c r="P156" s="104"/>
      <c r="Q156" s="104"/>
      <c r="R156" s="107"/>
      <c r="S156" s="107"/>
      <c r="T156" s="107"/>
      <c r="U156" s="107"/>
      <c r="V156" s="107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7"/>
      <c r="AH156" s="107"/>
      <c r="AI156" s="107"/>
      <c r="AJ156" s="107"/>
      <c r="AK156" s="107"/>
      <c r="AL156" s="107"/>
      <c r="AM156" s="104"/>
      <c r="AN156" s="104"/>
      <c r="AO156" s="104"/>
      <c r="AP156" s="104"/>
      <c r="AQ156" s="104"/>
      <c r="AS156" s="31"/>
    </row>
    <row r="157" spans="1:45" ht="44.25" customHeight="1" x14ac:dyDescent="0.25">
      <c r="A157" s="109"/>
      <c r="B157" s="112"/>
      <c r="C157" s="115"/>
      <c r="D157" s="54" t="s">
        <v>106</v>
      </c>
      <c r="E157" s="54" t="s">
        <v>160</v>
      </c>
      <c r="F157" s="54">
        <v>1</v>
      </c>
      <c r="G157" s="58" t="s">
        <v>294</v>
      </c>
      <c r="H157" s="59">
        <v>866.6</v>
      </c>
      <c r="I157" s="59">
        <f>H157</f>
        <v>866.6</v>
      </c>
      <c r="J157" s="54" t="s">
        <v>35</v>
      </c>
      <c r="K157" s="54" t="s">
        <v>35</v>
      </c>
      <c r="L157" s="59">
        <f>I157</f>
        <v>866.6</v>
      </c>
      <c r="M157" s="105"/>
      <c r="N157" s="105"/>
      <c r="O157" s="105"/>
      <c r="P157" s="105"/>
      <c r="Q157" s="105"/>
      <c r="R157" s="108"/>
      <c r="S157" s="108"/>
      <c r="T157" s="108"/>
      <c r="U157" s="108"/>
      <c r="V157" s="108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  <c r="AG157" s="108"/>
      <c r="AH157" s="108"/>
      <c r="AI157" s="108"/>
      <c r="AJ157" s="108"/>
      <c r="AK157" s="108"/>
      <c r="AL157" s="108"/>
      <c r="AM157" s="105"/>
      <c r="AN157" s="105"/>
      <c r="AO157" s="105"/>
      <c r="AP157" s="105"/>
      <c r="AQ157" s="105"/>
      <c r="AS157" s="31"/>
    </row>
    <row r="158" spans="1:45" ht="61.5" customHeight="1" x14ac:dyDescent="0.25">
      <c r="A158" s="109">
        <v>42</v>
      </c>
      <c r="B158" s="110" t="s">
        <v>295</v>
      </c>
      <c r="C158" s="113">
        <v>10</v>
      </c>
      <c r="D158" s="54" t="s">
        <v>122</v>
      </c>
      <c r="E158" s="54" t="s">
        <v>36</v>
      </c>
      <c r="F158" s="54">
        <v>1</v>
      </c>
      <c r="G158" s="32" t="s">
        <v>150</v>
      </c>
      <c r="H158" s="59">
        <v>2246.6999999999998</v>
      </c>
      <c r="I158" s="59">
        <f t="shared" ref="I158" si="106">F158*H158</f>
        <v>2246.6999999999998</v>
      </c>
      <c r="J158" s="59" t="s">
        <v>165</v>
      </c>
      <c r="K158" s="60">
        <v>1.44</v>
      </c>
      <c r="L158" s="59">
        <f t="shared" ref="L158:L159" si="107">I158*K158</f>
        <v>3235.2479999999996</v>
      </c>
      <c r="M158" s="103" t="s">
        <v>211</v>
      </c>
      <c r="N158" s="103" t="s">
        <v>211</v>
      </c>
      <c r="O158" s="103" t="s">
        <v>211</v>
      </c>
      <c r="P158" s="103" t="s">
        <v>211</v>
      </c>
      <c r="Q158" s="103" t="s">
        <v>211</v>
      </c>
      <c r="R158" s="106" t="s">
        <v>211</v>
      </c>
      <c r="S158" s="106" t="s">
        <v>211</v>
      </c>
      <c r="T158" s="106" t="s">
        <v>211</v>
      </c>
      <c r="U158" s="106" t="s">
        <v>211</v>
      </c>
      <c r="V158" s="106" t="s">
        <v>211</v>
      </c>
      <c r="W158" s="103">
        <v>0</v>
      </c>
      <c r="X158" s="103">
        <v>0</v>
      </c>
      <c r="Y158" s="103" t="s">
        <v>211</v>
      </c>
      <c r="Z158" s="103">
        <v>0</v>
      </c>
      <c r="AA158" s="103">
        <v>0</v>
      </c>
      <c r="AB158" s="103">
        <v>0</v>
      </c>
      <c r="AC158" s="103">
        <v>0</v>
      </c>
      <c r="AD158" s="103">
        <f>SUM(L158:L160)*1.2</f>
        <v>29511.375082800001</v>
      </c>
      <c r="AE158" s="103">
        <f>AD158</f>
        <v>29511.375082800001</v>
      </c>
      <c r="AF158" s="106">
        <f>SUM(AM158:AQ160)</f>
        <v>34708.269212130916</v>
      </c>
      <c r="AG158" s="106">
        <v>1.091</v>
      </c>
      <c r="AH158" s="106">
        <v>1.0780000000000001</v>
      </c>
      <c r="AI158" s="106">
        <v>1.0529999999999999</v>
      </c>
      <c r="AJ158" s="106">
        <v>1.044</v>
      </c>
      <c r="AK158" s="106">
        <v>1.044</v>
      </c>
      <c r="AL158" s="106">
        <v>1.044</v>
      </c>
      <c r="AM158" s="103">
        <f>AD158*AG158*AH158</f>
        <v>34708.269212130916</v>
      </c>
      <c r="AN158" s="103">
        <v>0</v>
      </c>
      <c r="AO158" s="103">
        <v>0</v>
      </c>
      <c r="AP158" s="103">
        <v>0</v>
      </c>
      <c r="AQ158" s="103">
        <v>0</v>
      </c>
      <c r="AS158" s="31"/>
    </row>
    <row r="159" spans="1:45" ht="90.75" customHeight="1" x14ac:dyDescent="0.25">
      <c r="A159" s="109"/>
      <c r="B159" s="111"/>
      <c r="C159" s="114"/>
      <c r="D159" s="54" t="s">
        <v>296</v>
      </c>
      <c r="E159" s="54" t="s">
        <v>33</v>
      </c>
      <c r="F159" s="54">
        <v>3.91</v>
      </c>
      <c r="G159" s="58" t="s">
        <v>297</v>
      </c>
      <c r="H159" s="59">
        <v>3296.01</v>
      </c>
      <c r="I159" s="59">
        <f t="shared" ref="I159" si="108">H159*F159</f>
        <v>12887.399100000001</v>
      </c>
      <c r="J159" s="54" t="s">
        <v>198</v>
      </c>
      <c r="K159" s="60">
        <v>1.59</v>
      </c>
      <c r="L159" s="59">
        <f t="shared" si="107"/>
        <v>20490.964569000003</v>
      </c>
      <c r="M159" s="104"/>
      <c r="N159" s="104"/>
      <c r="O159" s="104"/>
      <c r="P159" s="104"/>
      <c r="Q159" s="104"/>
      <c r="R159" s="107"/>
      <c r="S159" s="107"/>
      <c r="T159" s="107"/>
      <c r="U159" s="107"/>
      <c r="V159" s="107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7"/>
      <c r="AG159" s="107"/>
      <c r="AH159" s="107"/>
      <c r="AI159" s="107"/>
      <c r="AJ159" s="107"/>
      <c r="AK159" s="107"/>
      <c r="AL159" s="107"/>
      <c r="AM159" s="104"/>
      <c r="AN159" s="104"/>
      <c r="AO159" s="104"/>
      <c r="AP159" s="104"/>
      <c r="AQ159" s="104"/>
      <c r="AS159" s="31"/>
    </row>
    <row r="160" spans="1:45" ht="44.25" customHeight="1" x14ac:dyDescent="0.25">
      <c r="A160" s="109"/>
      <c r="B160" s="112"/>
      <c r="C160" s="115"/>
      <c r="D160" s="54" t="s">
        <v>106</v>
      </c>
      <c r="E160" s="54" t="s">
        <v>160</v>
      </c>
      <c r="F160" s="54">
        <v>1</v>
      </c>
      <c r="G160" s="58" t="s">
        <v>294</v>
      </c>
      <c r="H160" s="59">
        <v>866.6</v>
      </c>
      <c r="I160" s="59">
        <f>H160</f>
        <v>866.6</v>
      </c>
      <c r="J160" s="54" t="s">
        <v>35</v>
      </c>
      <c r="K160" s="54" t="s">
        <v>35</v>
      </c>
      <c r="L160" s="59">
        <f>I160</f>
        <v>866.6</v>
      </c>
      <c r="M160" s="105"/>
      <c r="N160" s="105"/>
      <c r="O160" s="105"/>
      <c r="P160" s="105"/>
      <c r="Q160" s="105"/>
      <c r="R160" s="108"/>
      <c r="S160" s="108"/>
      <c r="T160" s="108"/>
      <c r="U160" s="108"/>
      <c r="V160" s="108"/>
      <c r="W160" s="105"/>
      <c r="X160" s="105"/>
      <c r="Y160" s="105"/>
      <c r="Z160" s="105"/>
      <c r="AA160" s="105"/>
      <c r="AB160" s="105"/>
      <c r="AC160" s="105"/>
      <c r="AD160" s="105"/>
      <c r="AE160" s="105"/>
      <c r="AF160" s="108"/>
      <c r="AG160" s="108"/>
      <c r="AH160" s="108"/>
      <c r="AI160" s="108"/>
      <c r="AJ160" s="108"/>
      <c r="AK160" s="108"/>
      <c r="AL160" s="108"/>
      <c r="AM160" s="105"/>
      <c r="AN160" s="105"/>
      <c r="AO160" s="105"/>
      <c r="AP160" s="105"/>
      <c r="AQ160" s="105"/>
      <c r="AS160" s="31"/>
    </row>
    <row r="161" spans="1:44" ht="20.25" customHeight="1" x14ac:dyDescent="0.3">
      <c r="A161" s="134"/>
      <c r="B161" s="135"/>
      <c r="C161" s="135"/>
      <c r="D161" s="135"/>
      <c r="E161" s="135"/>
      <c r="F161" s="135"/>
      <c r="G161" s="135"/>
      <c r="H161" s="135"/>
      <c r="I161" s="135"/>
      <c r="J161" s="135"/>
      <c r="K161" s="135"/>
      <c r="L161" s="136"/>
      <c r="M161" s="76">
        <f>SUM(M9:M160)</f>
        <v>2986462.8393643983</v>
      </c>
      <c r="N161" s="76">
        <f t="shared" ref="N161" si="109">SUM(N9:N160)</f>
        <v>597292.56787287991</v>
      </c>
      <c r="O161" s="76">
        <f>SUM(O9:O160)</f>
        <v>3583755.4072372816</v>
      </c>
      <c r="P161" s="76">
        <f t="shared" ref="P161:AQ161" si="110">SUM(P9:P160)</f>
        <v>3583755.4072372816</v>
      </c>
      <c r="Q161" s="76">
        <f t="shared" si="110"/>
        <v>3959490.4206576459</v>
      </c>
      <c r="R161" s="76"/>
      <c r="S161" s="76"/>
      <c r="T161" s="76"/>
      <c r="U161" s="76"/>
      <c r="V161" s="76"/>
      <c r="W161" s="76">
        <f t="shared" si="110"/>
        <v>25079.040000000001</v>
      </c>
      <c r="X161" s="76">
        <f t="shared" si="110"/>
        <v>748575.00809519994</v>
      </c>
      <c r="Y161" s="76">
        <f t="shared" si="110"/>
        <v>885796.63515080046</v>
      </c>
      <c r="Z161" s="76">
        <f t="shared" si="110"/>
        <v>604792.84589824511</v>
      </c>
      <c r="AA161" s="76">
        <f t="shared" si="110"/>
        <v>815761.25710513943</v>
      </c>
      <c r="AB161" s="76">
        <f t="shared" si="110"/>
        <v>462924.82693318813</v>
      </c>
      <c r="AC161" s="76">
        <f t="shared" si="110"/>
        <v>416560.80747507227</v>
      </c>
      <c r="AD161" s="76">
        <f t="shared" si="110"/>
        <v>3672251.6917341612</v>
      </c>
      <c r="AE161" s="76">
        <f t="shared" si="110"/>
        <v>3672251.6917341612</v>
      </c>
      <c r="AF161" s="76">
        <f>SUM(AF9:AF160)</f>
        <v>4441925.0759785362</v>
      </c>
      <c r="AG161" s="76"/>
      <c r="AH161" s="76"/>
      <c r="AI161" s="76"/>
      <c r="AJ161" s="76"/>
      <c r="AK161" s="76"/>
      <c r="AL161" s="76"/>
      <c r="AM161" s="76">
        <f>SUM(AM9:AM160)</f>
        <v>1039966.5805028726</v>
      </c>
      <c r="AN161" s="76">
        <f t="shared" si="110"/>
        <v>707672.96383618366</v>
      </c>
      <c r="AO161" s="76">
        <f t="shared" si="110"/>
        <v>926393.50261415751</v>
      </c>
      <c r="AP161" s="76">
        <f t="shared" si="110"/>
        <v>517673.83131437609</v>
      </c>
      <c r="AQ161" s="76">
        <f t="shared" si="110"/>
        <v>467344.37209158827</v>
      </c>
      <c r="AR161" s="76">
        <f t="shared" ref="AR161" si="111">SUM(AR26:AR119)</f>
        <v>0</v>
      </c>
    </row>
    <row r="162" spans="1:44" ht="80.25" customHeight="1" x14ac:dyDescent="0.3">
      <c r="B162" s="46"/>
      <c r="N162" s="47"/>
      <c r="O162" s="48"/>
      <c r="P162" s="48"/>
      <c r="Q162" s="48"/>
      <c r="R162" s="48"/>
      <c r="S162" s="48"/>
      <c r="T162" s="48"/>
      <c r="U162" s="48"/>
      <c r="V162" s="48"/>
      <c r="Y162" s="49"/>
      <c r="Z162" s="49"/>
      <c r="AA162" s="50"/>
      <c r="AD162" s="48"/>
      <c r="AE162" s="48"/>
      <c r="AF162" s="48"/>
      <c r="AG162" s="48"/>
      <c r="AH162" s="48"/>
      <c r="AI162" s="48"/>
      <c r="AJ162" s="48"/>
      <c r="AK162" s="48"/>
      <c r="AL162" s="48"/>
      <c r="AM162" s="49"/>
      <c r="AN162" s="49"/>
      <c r="AO162" s="50"/>
    </row>
    <row r="163" spans="1:44" ht="84" customHeight="1" x14ac:dyDescent="0.3">
      <c r="W163" s="31"/>
      <c r="X163" s="31"/>
      <c r="Y163" s="31"/>
      <c r="Z163" s="31"/>
      <c r="AA163" s="31"/>
      <c r="AB163" s="31"/>
      <c r="AC163" s="31"/>
      <c r="AM163" s="31"/>
      <c r="AN163" s="31"/>
      <c r="AO163" s="31"/>
      <c r="AP163" s="31"/>
      <c r="AQ163" s="31"/>
    </row>
  </sheetData>
  <mergeCells count="915">
    <mergeCell ref="Y132:Y135"/>
    <mergeCell ref="Z132:Z135"/>
    <mergeCell ref="AA132:AA135"/>
    <mergeCell ref="AB132:AB135"/>
    <mergeCell ref="AC132:AC135"/>
    <mergeCell ref="P132:P135"/>
    <mergeCell ref="Q132:Q135"/>
    <mergeCell ref="R132:R135"/>
    <mergeCell ref="S132:S135"/>
    <mergeCell ref="T132:T135"/>
    <mergeCell ref="U132:U135"/>
    <mergeCell ref="V132:V135"/>
    <mergeCell ref="W132:W135"/>
    <mergeCell ref="X132:X135"/>
    <mergeCell ref="X120:X126"/>
    <mergeCell ref="Y120:Y126"/>
    <mergeCell ref="Z120:Z126"/>
    <mergeCell ref="AB120:AB126"/>
    <mergeCell ref="AC120:AC126"/>
    <mergeCell ref="AA120:AA126"/>
    <mergeCell ref="W112:W115"/>
    <mergeCell ref="W116:W119"/>
    <mergeCell ref="A120:A126"/>
    <mergeCell ref="B120:B126"/>
    <mergeCell ref="C120:C126"/>
    <mergeCell ref="M120:M126"/>
    <mergeCell ref="N120:N126"/>
    <mergeCell ref="O120:O126"/>
    <mergeCell ref="R120:R126"/>
    <mergeCell ref="S120:S126"/>
    <mergeCell ref="T120:T126"/>
    <mergeCell ref="U120:U126"/>
    <mergeCell ref="V120:V126"/>
    <mergeCell ref="W120:W126"/>
    <mergeCell ref="S116:S119"/>
    <mergeCell ref="T116:T119"/>
    <mergeCell ref="U116:U119"/>
    <mergeCell ref="V116:V119"/>
    <mergeCell ref="W6:AC6"/>
    <mergeCell ref="AB21:AB25"/>
    <mergeCell ref="AC21:AC25"/>
    <mergeCell ref="R21:R25"/>
    <mergeCell ref="S21:S25"/>
    <mergeCell ref="T21:T25"/>
    <mergeCell ref="U21:U25"/>
    <mergeCell ref="V21:V25"/>
    <mergeCell ref="X21:X25"/>
    <mergeCell ref="Y21:Y25"/>
    <mergeCell ref="Z21:Z25"/>
    <mergeCell ref="AA21:AA25"/>
    <mergeCell ref="R13:R14"/>
    <mergeCell ref="S13:S14"/>
    <mergeCell ref="T13:T14"/>
    <mergeCell ref="U11:U12"/>
    <mergeCell ref="U13:U14"/>
    <mergeCell ref="V13:V14"/>
    <mergeCell ref="X13:X14"/>
    <mergeCell ref="Y13:Y14"/>
    <mergeCell ref="Z13:Z14"/>
    <mergeCell ref="AA13:AA14"/>
    <mergeCell ref="AB13:AB14"/>
    <mergeCell ref="T9:T10"/>
    <mergeCell ref="U9:U10"/>
    <mergeCell ref="AB11:AB12"/>
    <mergeCell ref="AC11:AC12"/>
    <mergeCell ref="W11:W12"/>
    <mergeCell ref="AC13:AC14"/>
    <mergeCell ref="A21:A25"/>
    <mergeCell ref="B21:B25"/>
    <mergeCell ref="C21:C25"/>
    <mergeCell ref="M21:M25"/>
    <mergeCell ref="N21:N25"/>
    <mergeCell ref="O21:O25"/>
    <mergeCell ref="P21:P25"/>
    <mergeCell ref="Q21:Q25"/>
    <mergeCell ref="A13:A14"/>
    <mergeCell ref="B13:B14"/>
    <mergeCell ref="C13:C14"/>
    <mergeCell ref="M13:M14"/>
    <mergeCell ref="N13:N14"/>
    <mergeCell ref="O13:O14"/>
    <mergeCell ref="W13:W14"/>
    <mergeCell ref="W21:W25"/>
    <mergeCell ref="A11:A12"/>
    <mergeCell ref="B11:B12"/>
    <mergeCell ref="Q90:Q95"/>
    <mergeCell ref="O112:O115"/>
    <mergeCell ref="P112:P115"/>
    <mergeCell ref="Q112:Q115"/>
    <mergeCell ref="S102:S111"/>
    <mergeCell ref="R112:R115"/>
    <mergeCell ref="S112:S115"/>
    <mergeCell ref="T112:T115"/>
    <mergeCell ref="U112:U115"/>
    <mergeCell ref="AK33:AK43"/>
    <mergeCell ref="AH33:AH43"/>
    <mergeCell ref="AE33:AE43"/>
    <mergeCell ref="AF33:AF43"/>
    <mergeCell ref="AD33:AD43"/>
    <mergeCell ref="AI33:AI43"/>
    <mergeCell ref="AJ33:AJ43"/>
    <mergeCell ref="AD44:AD53"/>
    <mergeCell ref="AE44:AE53"/>
    <mergeCell ref="AF44:AF53"/>
    <mergeCell ref="AH44:AH53"/>
    <mergeCell ref="AI44:AI53"/>
    <mergeCell ref="AK44:AK53"/>
    <mergeCell ref="AJ44:AJ53"/>
    <mergeCell ref="AH26:AH32"/>
    <mergeCell ref="AF26:AF32"/>
    <mergeCell ref="AE26:AE32"/>
    <mergeCell ref="AD26:AD32"/>
    <mergeCell ref="AC26:AC32"/>
    <mergeCell ref="AB112:AB115"/>
    <mergeCell ref="AC112:AC115"/>
    <mergeCell ref="AB26:AB32"/>
    <mergeCell ref="AB90:AB95"/>
    <mergeCell ref="AC90:AC95"/>
    <mergeCell ref="AH112:AH115"/>
    <mergeCell ref="AB54:AB56"/>
    <mergeCell ref="AC54:AC56"/>
    <mergeCell ref="AD54:AD56"/>
    <mergeCell ref="AE54:AE56"/>
    <mergeCell ref="AB44:AB53"/>
    <mergeCell ref="AF54:AF56"/>
    <mergeCell ref="AH54:AH56"/>
    <mergeCell ref="AB33:AB43"/>
    <mergeCell ref="AC33:AC43"/>
    <mergeCell ref="AH74:AH81"/>
    <mergeCell ref="AD112:AD115"/>
    <mergeCell ref="AE112:AE115"/>
    <mergeCell ref="AF112:AF115"/>
    <mergeCell ref="AI96:AI101"/>
    <mergeCell ref="AJ84:AJ86"/>
    <mergeCell ref="AA84:AA86"/>
    <mergeCell ref="AB84:AB86"/>
    <mergeCell ref="AC84:AC86"/>
    <mergeCell ref="AD84:AD86"/>
    <mergeCell ref="AE84:AE86"/>
    <mergeCell ref="AF84:AF86"/>
    <mergeCell ref="AH84:AH86"/>
    <mergeCell ref="AI90:AI95"/>
    <mergeCell ref="AJ90:AJ95"/>
    <mergeCell ref="AE96:AE101"/>
    <mergeCell ref="AJ96:AJ101"/>
    <mergeCell ref="AG84:AG86"/>
    <mergeCell ref="AG90:AG95"/>
    <mergeCell ref="AG96:AG101"/>
    <mergeCell ref="AH90:AH95"/>
    <mergeCell ref="AI84:AI86"/>
    <mergeCell ref="M74:M81"/>
    <mergeCell ref="N74:N81"/>
    <mergeCell ref="O74:O81"/>
    <mergeCell ref="P74:P81"/>
    <mergeCell ref="Q74:Q81"/>
    <mergeCell ref="Z90:Z95"/>
    <mergeCell ref="P84:P86"/>
    <mergeCell ref="Q84:Q86"/>
    <mergeCell ref="R84:R86"/>
    <mergeCell ref="S84:S86"/>
    <mergeCell ref="T84:T86"/>
    <mergeCell ref="U84:U86"/>
    <mergeCell ref="V84:V86"/>
    <mergeCell ref="X84:X86"/>
    <mergeCell ref="Y84:Y86"/>
    <mergeCell ref="Z84:Z86"/>
    <mergeCell ref="R74:R81"/>
    <mergeCell ref="V90:V95"/>
    <mergeCell ref="X90:X95"/>
    <mergeCell ref="Y90:Y95"/>
    <mergeCell ref="W74:W81"/>
    <mergeCell ref="W84:W86"/>
    <mergeCell ref="W90:W95"/>
    <mergeCell ref="P90:P95"/>
    <mergeCell ref="S74:S81"/>
    <mergeCell ref="T74:T81"/>
    <mergeCell ref="U74:U81"/>
    <mergeCell ref="V74:V81"/>
    <mergeCell ref="X74:X81"/>
    <mergeCell ref="Y74:Y81"/>
    <mergeCell ref="Z74:Z81"/>
    <mergeCell ref="AA74:AA81"/>
    <mergeCell ref="Z112:Z115"/>
    <mergeCell ref="Z96:Z101"/>
    <mergeCell ref="V96:V101"/>
    <mergeCell ref="AA112:AA115"/>
    <mergeCell ref="V112:V115"/>
    <mergeCell ref="X112:X115"/>
    <mergeCell ref="Y112:Y115"/>
    <mergeCell ref="AB116:AB119"/>
    <mergeCell ref="AF96:AF101"/>
    <mergeCell ref="AH96:AH101"/>
    <mergeCell ref="AE102:AE111"/>
    <mergeCell ref="AC102:AC111"/>
    <mergeCell ref="AB102:AB111"/>
    <mergeCell ref="U90:U95"/>
    <mergeCell ref="R116:R119"/>
    <mergeCell ref="X116:X119"/>
    <mergeCell ref="Y116:Y119"/>
    <mergeCell ref="Z116:Z119"/>
    <mergeCell ref="AA116:AA119"/>
    <mergeCell ref="AA90:AA95"/>
    <mergeCell ref="Z102:Z111"/>
    <mergeCell ref="Y96:Y101"/>
    <mergeCell ref="X96:X101"/>
    <mergeCell ref="W96:W101"/>
    <mergeCell ref="W102:W111"/>
    <mergeCell ref="AC116:AC119"/>
    <mergeCell ref="AD116:AD119"/>
    <mergeCell ref="AE116:AE119"/>
    <mergeCell ref="AF116:AF119"/>
    <mergeCell ref="AH116:AH119"/>
    <mergeCell ref="AD90:AD95"/>
    <mergeCell ref="A116:A119"/>
    <mergeCell ref="B116:B119"/>
    <mergeCell ref="C116:C119"/>
    <mergeCell ref="M116:M119"/>
    <mergeCell ref="N116:N119"/>
    <mergeCell ref="O116:O119"/>
    <mergeCell ref="P116:P119"/>
    <mergeCell ref="Q116:Q119"/>
    <mergeCell ref="V102:V111"/>
    <mergeCell ref="A112:A115"/>
    <mergeCell ref="B112:B115"/>
    <mergeCell ref="C112:C115"/>
    <mergeCell ref="M112:M115"/>
    <mergeCell ref="N112:N115"/>
    <mergeCell ref="M102:M111"/>
    <mergeCell ref="M90:M95"/>
    <mergeCell ref="N90:N95"/>
    <mergeCell ref="O90:O95"/>
    <mergeCell ref="P67:P73"/>
    <mergeCell ref="Q67:Q73"/>
    <mergeCell ref="AK67:AK73"/>
    <mergeCell ref="AI74:AI81"/>
    <mergeCell ref="AJ102:AJ111"/>
    <mergeCell ref="AD96:AD101"/>
    <mergeCell ref="AD67:AD73"/>
    <mergeCell ref="AA102:AA111"/>
    <mergeCell ref="AD102:AD111"/>
    <mergeCell ref="R90:R95"/>
    <mergeCell ref="S90:S95"/>
    <mergeCell ref="T90:T95"/>
    <mergeCell ref="AH67:AH73"/>
    <mergeCell ref="U102:U111"/>
    <mergeCell ref="X102:X111"/>
    <mergeCell ref="T96:T101"/>
    <mergeCell ref="U96:U101"/>
    <mergeCell ref="Y102:Y111"/>
    <mergeCell ref="R102:R111"/>
    <mergeCell ref="T102:T111"/>
    <mergeCell ref="AJ74:AJ81"/>
    <mergeCell ref="AB64:AB66"/>
    <mergeCell ref="AC64:AC66"/>
    <mergeCell ref="AA67:AA73"/>
    <mergeCell ref="AF57:AF63"/>
    <mergeCell ref="AA96:AA101"/>
    <mergeCell ref="AB96:AB101"/>
    <mergeCell ref="AC96:AC101"/>
    <mergeCell ref="AD74:AD81"/>
    <mergeCell ref="AE67:AE73"/>
    <mergeCell ref="AF67:AF73"/>
    <mergeCell ref="AE74:AE81"/>
    <mergeCell ref="AE90:AE95"/>
    <mergeCell ref="AF90:AF95"/>
    <mergeCell ref="AC74:AC81"/>
    <mergeCell ref="AB67:AB73"/>
    <mergeCell ref="AF74:AF81"/>
    <mergeCell ref="T64:T66"/>
    <mergeCell ref="U64:U66"/>
    <mergeCell ref="V64:V66"/>
    <mergeCell ref="X64:X66"/>
    <mergeCell ref="Y64:Y66"/>
    <mergeCell ref="Z64:Z66"/>
    <mergeCell ref="AA64:AA66"/>
    <mergeCell ref="R67:R73"/>
    <mergeCell ref="S67:S73"/>
    <mergeCell ref="T67:T73"/>
    <mergeCell ref="U67:U73"/>
    <mergeCell ref="V67:V73"/>
    <mergeCell ref="X67:X73"/>
    <mergeCell ref="Y67:Y73"/>
    <mergeCell ref="Z67:Z73"/>
    <mergeCell ref="W64:W66"/>
    <mergeCell ref="W67:W73"/>
    <mergeCell ref="A3:AC3"/>
    <mergeCell ref="M5:AC5"/>
    <mergeCell ref="A5:A7"/>
    <mergeCell ref="M6:M7"/>
    <mergeCell ref="J5:K6"/>
    <mergeCell ref="AC9:AC10"/>
    <mergeCell ref="O6:O7"/>
    <mergeCell ref="X4:Z4"/>
    <mergeCell ref="Y11:Y12"/>
    <mergeCell ref="Z11:Z12"/>
    <mergeCell ref="AA11:AA12"/>
    <mergeCell ref="B5:B7"/>
    <mergeCell ref="C5:C7"/>
    <mergeCell ref="A9:A10"/>
    <mergeCell ref="B9:B10"/>
    <mergeCell ref="C9:C10"/>
    <mergeCell ref="M9:M10"/>
    <mergeCell ref="N9:N10"/>
    <mergeCell ref="O9:O10"/>
    <mergeCell ref="P9:P10"/>
    <mergeCell ref="Q9:Q10"/>
    <mergeCell ref="W9:W10"/>
    <mergeCell ref="R9:R10"/>
    <mergeCell ref="S9:S10"/>
    <mergeCell ref="S11:S12"/>
    <mergeCell ref="T11:T12"/>
    <mergeCell ref="V11:V12"/>
    <mergeCell ref="X11:X12"/>
    <mergeCell ref="A44:A53"/>
    <mergeCell ref="B44:B53"/>
    <mergeCell ref="C44:C53"/>
    <mergeCell ref="M44:M53"/>
    <mergeCell ref="N44:N53"/>
    <mergeCell ref="O44:O53"/>
    <mergeCell ref="P44:P53"/>
    <mergeCell ref="Q44:Q53"/>
    <mergeCell ref="R44:R53"/>
    <mergeCell ref="A26:A32"/>
    <mergeCell ref="C11:C12"/>
    <mergeCell ref="M11:M12"/>
    <mergeCell ref="N11:N12"/>
    <mergeCell ref="O11:O12"/>
    <mergeCell ref="P11:P12"/>
    <mergeCell ref="Q11:Q12"/>
    <mergeCell ref="R11:R12"/>
    <mergeCell ref="R26:R32"/>
    <mergeCell ref="S26:S32"/>
    <mergeCell ref="W44:W53"/>
    <mergeCell ref="AB9:AB10"/>
    <mergeCell ref="X33:X43"/>
    <mergeCell ref="Y33:Y43"/>
    <mergeCell ref="Z33:Z43"/>
    <mergeCell ref="AA33:AA43"/>
    <mergeCell ref="AA26:AA32"/>
    <mergeCell ref="W26:W32"/>
    <mergeCell ref="W33:W43"/>
    <mergeCell ref="X9:X10"/>
    <mergeCell ref="Y9:Y10"/>
    <mergeCell ref="Z9:Z10"/>
    <mergeCell ref="AA9:AA10"/>
    <mergeCell ref="Z26:Z32"/>
    <mergeCell ref="M33:M43"/>
    <mergeCell ref="N33:N43"/>
    <mergeCell ref="O33:O43"/>
    <mergeCell ref="P33:P43"/>
    <mergeCell ref="Q33:Q43"/>
    <mergeCell ref="R33:R43"/>
    <mergeCell ref="P6:P7"/>
    <mergeCell ref="Q6:Q7"/>
    <mergeCell ref="D5:D7"/>
    <mergeCell ref="E5:E7"/>
    <mergeCell ref="F5:F7"/>
    <mergeCell ref="G5:G7"/>
    <mergeCell ref="H5:H7"/>
    <mergeCell ref="I5:I7"/>
    <mergeCell ref="L5:L7"/>
    <mergeCell ref="N6:N7"/>
    <mergeCell ref="P13:P14"/>
    <mergeCell ref="Q13:Q14"/>
    <mergeCell ref="R6:V6"/>
    <mergeCell ref="S33:S43"/>
    <mergeCell ref="T33:T43"/>
    <mergeCell ref="U33:U43"/>
    <mergeCell ref="V33:V43"/>
    <mergeCell ref="V9:V10"/>
    <mergeCell ref="Y26:Y32"/>
    <mergeCell ref="Q26:Q32"/>
    <mergeCell ref="P26:P32"/>
    <mergeCell ref="O26:O32"/>
    <mergeCell ref="N26:N32"/>
    <mergeCell ref="M26:M32"/>
    <mergeCell ref="C26:C32"/>
    <mergeCell ref="B26:B32"/>
    <mergeCell ref="X26:X32"/>
    <mergeCell ref="U26:U32"/>
    <mergeCell ref="V26:V32"/>
    <mergeCell ref="T26:T32"/>
    <mergeCell ref="AI54:AI56"/>
    <mergeCell ref="AJ54:AJ56"/>
    <mergeCell ref="AK54:AK56"/>
    <mergeCell ref="AE57:AE63"/>
    <mergeCell ref="AH57:AH63"/>
    <mergeCell ref="AI57:AI63"/>
    <mergeCell ref="P54:P56"/>
    <mergeCell ref="Q54:Q56"/>
    <mergeCell ref="A57:A63"/>
    <mergeCell ref="R54:R56"/>
    <mergeCell ref="S54:S56"/>
    <mergeCell ref="T54:T56"/>
    <mergeCell ref="U54:U56"/>
    <mergeCell ref="V54:V56"/>
    <mergeCell ref="X54:X56"/>
    <mergeCell ref="Y54:Y56"/>
    <mergeCell ref="Z54:Z56"/>
    <mergeCell ref="AA54:AA56"/>
    <mergeCell ref="AA57:AA63"/>
    <mergeCell ref="AB57:AB63"/>
    <mergeCell ref="AC57:AC63"/>
    <mergeCell ref="AD57:AD63"/>
    <mergeCell ref="M57:M63"/>
    <mergeCell ref="N57:N63"/>
    <mergeCell ref="O57:O63"/>
    <mergeCell ref="P57:P63"/>
    <mergeCell ref="Q57:Q63"/>
    <mergeCell ref="M64:M66"/>
    <mergeCell ref="N64:N66"/>
    <mergeCell ref="O64:O66"/>
    <mergeCell ref="C57:C63"/>
    <mergeCell ref="P64:P66"/>
    <mergeCell ref="Q64:Q66"/>
    <mergeCell ref="S96:S101"/>
    <mergeCell ref="AC44:AC53"/>
    <mergeCell ref="R57:R63"/>
    <mergeCell ref="S57:S63"/>
    <mergeCell ref="T57:T63"/>
    <mergeCell ref="U57:U63"/>
    <mergeCell ref="V57:V63"/>
    <mergeCell ref="X57:X63"/>
    <mergeCell ref="Y57:Y63"/>
    <mergeCell ref="Z57:Z63"/>
    <mergeCell ref="W54:W56"/>
    <mergeCell ref="W57:W63"/>
    <mergeCell ref="AC67:AC73"/>
    <mergeCell ref="AB74:AB81"/>
    <mergeCell ref="S44:S53"/>
    <mergeCell ref="T44:T53"/>
    <mergeCell ref="U44:U53"/>
    <mergeCell ref="V44:V53"/>
    <mergeCell ref="X44:X53"/>
    <mergeCell ref="Y44:Y53"/>
    <mergeCell ref="Z44:Z53"/>
    <mergeCell ref="AA44:AA53"/>
    <mergeCell ref="R64:R66"/>
    <mergeCell ref="S64:S66"/>
    <mergeCell ref="B90:B95"/>
    <mergeCell ref="C90:C95"/>
    <mergeCell ref="A132:A135"/>
    <mergeCell ref="B132:B135"/>
    <mergeCell ref="M54:M56"/>
    <mergeCell ref="N54:N56"/>
    <mergeCell ref="O54:O56"/>
    <mergeCell ref="B67:B73"/>
    <mergeCell ref="C67:C73"/>
    <mergeCell ref="M67:M73"/>
    <mergeCell ref="N67:N73"/>
    <mergeCell ref="O67:O73"/>
    <mergeCell ref="A84:A86"/>
    <mergeCell ref="B84:B86"/>
    <mergeCell ref="C84:C86"/>
    <mergeCell ref="M84:M86"/>
    <mergeCell ref="N84:N86"/>
    <mergeCell ref="O84:O86"/>
    <mergeCell ref="C132:C135"/>
    <mergeCell ref="M132:M135"/>
    <mergeCell ref="N132:N135"/>
    <mergeCell ref="O132:O135"/>
    <mergeCell ref="M96:M101"/>
    <mergeCell ref="C96:C101"/>
    <mergeCell ref="A161:L161"/>
    <mergeCell ref="B96:B101"/>
    <mergeCell ref="B102:B111"/>
    <mergeCell ref="A102:A111"/>
    <mergeCell ref="A33:A43"/>
    <mergeCell ref="B33:B43"/>
    <mergeCell ref="C33:C43"/>
    <mergeCell ref="A54:A56"/>
    <mergeCell ref="B54:B56"/>
    <mergeCell ref="C54:C56"/>
    <mergeCell ref="A64:A66"/>
    <mergeCell ref="B64:B66"/>
    <mergeCell ref="C64:C66"/>
    <mergeCell ref="A67:A73"/>
    <mergeCell ref="A74:A81"/>
    <mergeCell ref="B74:B81"/>
    <mergeCell ref="C74:C81"/>
    <mergeCell ref="B57:B63"/>
    <mergeCell ref="A96:A101"/>
    <mergeCell ref="C102:C111"/>
    <mergeCell ref="A136:A140"/>
    <mergeCell ref="B136:B140"/>
    <mergeCell ref="C136:C140"/>
    <mergeCell ref="A90:A95"/>
    <mergeCell ref="N96:N101"/>
    <mergeCell ref="O96:O101"/>
    <mergeCell ref="P96:P101"/>
    <mergeCell ref="Q96:Q101"/>
    <mergeCell ref="R96:R101"/>
    <mergeCell ref="O102:O111"/>
    <mergeCell ref="P102:P111"/>
    <mergeCell ref="Q102:Q111"/>
    <mergeCell ref="N102:N111"/>
    <mergeCell ref="AM4:AN4"/>
    <mergeCell ref="AD5:AQ5"/>
    <mergeCell ref="AD6:AD7"/>
    <mergeCell ref="AE6:AE7"/>
    <mergeCell ref="AF6:AF7"/>
    <mergeCell ref="AM6:AQ6"/>
    <mergeCell ref="AL9:AL10"/>
    <mergeCell ref="AM9:AM10"/>
    <mergeCell ref="AN9:AN10"/>
    <mergeCell ref="AO9:AO10"/>
    <mergeCell ref="AP9:AP10"/>
    <mergeCell ref="AQ9:AQ10"/>
    <mergeCell ref="AD9:AD10"/>
    <mergeCell ref="AE9:AE10"/>
    <mergeCell ref="AF9:AF10"/>
    <mergeCell ref="AH9:AH10"/>
    <mergeCell ref="AI9:AI10"/>
    <mergeCell ref="AJ9:AJ10"/>
    <mergeCell ref="AK9:AK10"/>
    <mergeCell ref="AD21:AD25"/>
    <mergeCell ref="AE21:AE25"/>
    <mergeCell ref="AF21:AF25"/>
    <mergeCell ref="AH21:AH25"/>
    <mergeCell ref="AI21:AI25"/>
    <mergeCell ref="AJ21:AJ25"/>
    <mergeCell ref="AK21:AK25"/>
    <mergeCell ref="AD11:AD12"/>
    <mergeCell ref="AE11:AE12"/>
    <mergeCell ref="AF11:AF12"/>
    <mergeCell ref="AH11:AH12"/>
    <mergeCell ref="AI11:AI12"/>
    <mergeCell ref="AJ11:AJ12"/>
    <mergeCell ref="AK11:AK12"/>
    <mergeCell ref="AQ11:AQ12"/>
    <mergeCell ref="AD13:AD14"/>
    <mergeCell ref="AE13:AE14"/>
    <mergeCell ref="AF13:AF14"/>
    <mergeCell ref="AH13:AH14"/>
    <mergeCell ref="AI13:AI14"/>
    <mergeCell ref="AJ13:AJ14"/>
    <mergeCell ref="AK13:AK14"/>
    <mergeCell ref="AL13:AL14"/>
    <mergeCell ref="AM13:AM14"/>
    <mergeCell ref="AN13:AN14"/>
    <mergeCell ref="AO13:AO14"/>
    <mergeCell ref="AP13:AP14"/>
    <mergeCell ref="AQ13:AQ14"/>
    <mergeCell ref="AM11:AM12"/>
    <mergeCell ref="AN11:AN12"/>
    <mergeCell ref="AO11:AO12"/>
    <mergeCell ref="AP11:AP12"/>
    <mergeCell ref="AL11:AL12"/>
    <mergeCell ref="AI26:AI32"/>
    <mergeCell ref="AL26:AL32"/>
    <mergeCell ref="AM26:AM32"/>
    <mergeCell ref="AN26:AN32"/>
    <mergeCell ref="AO26:AO32"/>
    <mergeCell ref="AP26:AP32"/>
    <mergeCell ref="AQ26:AQ32"/>
    <mergeCell ref="AK26:AK32"/>
    <mergeCell ref="AJ26:AJ32"/>
    <mergeCell ref="AL33:AL43"/>
    <mergeCell ref="AM33:AM43"/>
    <mergeCell ref="AN33:AN43"/>
    <mergeCell ref="AO33:AO43"/>
    <mergeCell ref="AP33:AP43"/>
    <mergeCell ref="AQ33:AQ43"/>
    <mergeCell ref="AL21:AL25"/>
    <mergeCell ref="AM21:AM25"/>
    <mergeCell ref="AN21:AN25"/>
    <mergeCell ref="AO21:AO25"/>
    <mergeCell ref="AP21:AP25"/>
    <mergeCell ref="AQ21:AQ25"/>
    <mergeCell ref="AJ57:AJ63"/>
    <mergeCell ref="AK57:AK63"/>
    <mergeCell ref="AQ64:AQ66"/>
    <mergeCell ref="AL44:AL53"/>
    <mergeCell ref="AM44:AM53"/>
    <mergeCell ref="AN44:AN53"/>
    <mergeCell ref="AO44:AO53"/>
    <mergeCell ref="AP44:AP53"/>
    <mergeCell ref="AQ44:AQ53"/>
    <mergeCell ref="AL54:AL56"/>
    <mergeCell ref="AM54:AM56"/>
    <mergeCell ref="AN54:AN56"/>
    <mergeCell ref="AO54:AO56"/>
    <mergeCell ref="AP54:AP56"/>
    <mergeCell ref="AQ54:AQ56"/>
    <mergeCell ref="AD64:AD66"/>
    <mergeCell ref="AE64:AE66"/>
    <mergeCell ref="AF64:AF66"/>
    <mergeCell ref="AH64:AH66"/>
    <mergeCell ref="AI64:AI66"/>
    <mergeCell ref="AJ64:AJ66"/>
    <mergeCell ref="AK64:AK66"/>
    <mergeCell ref="AL64:AL66"/>
    <mergeCell ref="AM64:AM66"/>
    <mergeCell ref="AP67:AP73"/>
    <mergeCell ref="AQ67:AQ73"/>
    <mergeCell ref="AP74:AP81"/>
    <mergeCell ref="AQ74:AQ81"/>
    <mergeCell ref="AL57:AL63"/>
    <mergeCell ref="AM57:AM63"/>
    <mergeCell ref="AN57:AN63"/>
    <mergeCell ref="AO57:AO63"/>
    <mergeCell ref="AP57:AP63"/>
    <mergeCell ref="AQ57:AQ63"/>
    <mergeCell ref="AN64:AN66"/>
    <mergeCell ref="AO64:AO66"/>
    <mergeCell ref="AP64:AP66"/>
    <mergeCell ref="AK74:AK81"/>
    <mergeCell ref="AL74:AL81"/>
    <mergeCell ref="AM74:AM81"/>
    <mergeCell ref="AN74:AN81"/>
    <mergeCell ref="AO74:AO81"/>
    <mergeCell ref="AI67:AI73"/>
    <mergeCell ref="AJ67:AJ73"/>
    <mergeCell ref="AL67:AL73"/>
    <mergeCell ref="AM67:AM73"/>
    <mergeCell ref="AN67:AN73"/>
    <mergeCell ref="AO67:AO73"/>
    <mergeCell ref="AK90:AK95"/>
    <mergeCell ref="AL90:AL95"/>
    <mergeCell ref="AM90:AM95"/>
    <mergeCell ref="AN90:AN95"/>
    <mergeCell ref="AO90:AO95"/>
    <mergeCell ref="AP90:AP95"/>
    <mergeCell ref="AQ90:AQ95"/>
    <mergeCell ref="AK84:AK86"/>
    <mergeCell ref="AL84:AL86"/>
    <mergeCell ref="AM84:AM86"/>
    <mergeCell ref="AN84:AN86"/>
    <mergeCell ref="AO84:AO86"/>
    <mergeCell ref="AP84:AP86"/>
    <mergeCell ref="AQ84:AQ86"/>
    <mergeCell ref="AL112:AL115"/>
    <mergeCell ref="AM112:AM115"/>
    <mergeCell ref="AN112:AN115"/>
    <mergeCell ref="AO112:AO115"/>
    <mergeCell ref="AP112:AP115"/>
    <mergeCell ref="AQ112:AQ115"/>
    <mergeCell ref="AL102:AL111"/>
    <mergeCell ref="AK96:AK101"/>
    <mergeCell ref="AL96:AL101"/>
    <mergeCell ref="AM96:AM101"/>
    <mergeCell ref="AM102:AM111"/>
    <mergeCell ref="AN102:AN111"/>
    <mergeCell ref="AO102:AO111"/>
    <mergeCell ref="AP102:AP111"/>
    <mergeCell ref="AQ102:AQ111"/>
    <mergeCell ref="AN96:AN101"/>
    <mergeCell ref="AO96:AO101"/>
    <mergeCell ref="AP96:AP101"/>
    <mergeCell ref="AQ96:AQ101"/>
    <mergeCell ref="AG102:AG111"/>
    <mergeCell ref="AG112:AG115"/>
    <mergeCell ref="AF102:AF111"/>
    <mergeCell ref="AH102:AH111"/>
    <mergeCell ref="AI102:AI111"/>
    <mergeCell ref="AK102:AK111"/>
    <mergeCell ref="AD120:AD126"/>
    <mergeCell ref="AH120:AH126"/>
    <mergeCell ref="AI120:AI126"/>
    <mergeCell ref="AJ120:AJ126"/>
    <mergeCell ref="AK120:AK126"/>
    <mergeCell ref="AI112:AI115"/>
    <mergeCell ref="AJ112:AJ115"/>
    <mergeCell ref="AK112:AK115"/>
    <mergeCell ref="AE132:AE135"/>
    <mergeCell ref="AF132:AF135"/>
    <mergeCell ref="AH132:AH135"/>
    <mergeCell ref="AI132:AI135"/>
    <mergeCell ref="AJ132:AJ135"/>
    <mergeCell ref="AK132:AK135"/>
    <mergeCell ref="AP116:AP119"/>
    <mergeCell ref="AL132:AL135"/>
    <mergeCell ref="AM132:AM135"/>
    <mergeCell ref="AN132:AN135"/>
    <mergeCell ref="AO132:AO135"/>
    <mergeCell ref="AP132:AP135"/>
    <mergeCell ref="AN120:AN126"/>
    <mergeCell ref="AO120:AO126"/>
    <mergeCell ref="AP120:AP126"/>
    <mergeCell ref="AQ120:AQ126"/>
    <mergeCell ref="AG116:AG119"/>
    <mergeCell ref="AI116:AI119"/>
    <mergeCell ref="AJ116:AJ119"/>
    <mergeCell ref="AK116:AK119"/>
    <mergeCell ref="AL116:AL119"/>
    <mergeCell ref="AM116:AM119"/>
    <mergeCell ref="AN116:AN119"/>
    <mergeCell ref="AO116:AO119"/>
    <mergeCell ref="AL120:AL126"/>
    <mergeCell ref="AM120:AM126"/>
    <mergeCell ref="AQ132:AQ135"/>
    <mergeCell ref="A1:AQ1"/>
    <mergeCell ref="A2:AQ2"/>
    <mergeCell ref="AG6:AL6"/>
    <mergeCell ref="AG9:AG10"/>
    <mergeCell ref="AG11:AG12"/>
    <mergeCell ref="AG13:AG14"/>
    <mergeCell ref="AG21:AG25"/>
    <mergeCell ref="AG26:AG32"/>
    <mergeCell ref="AG33:AG43"/>
    <mergeCell ref="AG44:AG53"/>
    <mergeCell ref="AG54:AG56"/>
    <mergeCell ref="AG57:AG63"/>
    <mergeCell ref="AG64:AG66"/>
    <mergeCell ref="AG67:AG73"/>
    <mergeCell ref="AG74:AG81"/>
    <mergeCell ref="AD132:AD135"/>
    <mergeCell ref="P120:P126"/>
    <mergeCell ref="Q120:Q126"/>
    <mergeCell ref="AF120:AF126"/>
    <mergeCell ref="AG120:AG126"/>
    <mergeCell ref="AG132:AG135"/>
    <mergeCell ref="AQ116:AQ119"/>
    <mergeCell ref="AE120:AE126"/>
    <mergeCell ref="M136:M140"/>
    <mergeCell ref="N136:N140"/>
    <mergeCell ref="O136:O140"/>
    <mergeCell ref="P136:P140"/>
    <mergeCell ref="Q136:Q140"/>
    <mergeCell ref="R136:R140"/>
    <mergeCell ref="S136:S140"/>
    <mergeCell ref="T136:T140"/>
    <mergeCell ref="U136:U140"/>
    <mergeCell ref="V136:V140"/>
    <mergeCell ref="W136:W140"/>
    <mergeCell ref="X136:X140"/>
    <mergeCell ref="Y136:Y140"/>
    <mergeCell ref="Z136:Z140"/>
    <mergeCell ref="AA136:AA140"/>
    <mergeCell ref="AB136:AB140"/>
    <mergeCell ref="AC136:AC140"/>
    <mergeCell ref="AD136:AD140"/>
    <mergeCell ref="AE136:AE140"/>
    <mergeCell ref="AF136:AF140"/>
    <mergeCell ref="AG136:AG140"/>
    <mergeCell ref="AH136:AH140"/>
    <mergeCell ref="AI136:AI140"/>
    <mergeCell ref="AJ136:AJ140"/>
    <mergeCell ref="AK136:AK140"/>
    <mergeCell ref="AL136:AL140"/>
    <mergeCell ref="AM136:AM140"/>
    <mergeCell ref="AN136:AN140"/>
    <mergeCell ref="AO136:AO140"/>
    <mergeCell ref="AP136:AP140"/>
    <mergeCell ref="AQ136:AQ140"/>
    <mergeCell ref="A141:A145"/>
    <mergeCell ref="B141:B145"/>
    <mergeCell ref="C141:C145"/>
    <mergeCell ref="M141:M145"/>
    <mergeCell ref="N141:N145"/>
    <mergeCell ref="O141:O145"/>
    <mergeCell ref="P141:P145"/>
    <mergeCell ref="Q141:Q145"/>
    <mergeCell ref="R141:R145"/>
    <mergeCell ref="S141:S145"/>
    <mergeCell ref="T141:T145"/>
    <mergeCell ref="U141:U145"/>
    <mergeCell ref="V141:V145"/>
    <mergeCell ref="W141:W145"/>
    <mergeCell ref="X141:X145"/>
    <mergeCell ref="Y141:Y145"/>
    <mergeCell ref="Z141:Z145"/>
    <mergeCell ref="AA141:AA145"/>
    <mergeCell ref="AB141:AB145"/>
    <mergeCell ref="AC141:AC145"/>
    <mergeCell ref="AD141:AD145"/>
    <mergeCell ref="AE141:AE145"/>
    <mergeCell ref="AF141:AF145"/>
    <mergeCell ref="AG141:AG145"/>
    <mergeCell ref="AH141:AH145"/>
    <mergeCell ref="AI141:AI145"/>
    <mergeCell ref="AJ141:AJ145"/>
    <mergeCell ref="AK141:AK145"/>
    <mergeCell ref="AL141:AL145"/>
    <mergeCell ref="AM141:AM145"/>
    <mergeCell ref="AN141:AN145"/>
    <mergeCell ref="AO141:AO145"/>
    <mergeCell ref="AP141:AP145"/>
    <mergeCell ref="AQ141:AQ145"/>
    <mergeCell ref="A146:A151"/>
    <mergeCell ref="B146:B151"/>
    <mergeCell ref="C146:C151"/>
    <mergeCell ref="M146:M151"/>
    <mergeCell ref="N146:N151"/>
    <mergeCell ref="O146:O151"/>
    <mergeCell ref="P146:P151"/>
    <mergeCell ref="Q146:Q151"/>
    <mergeCell ref="R146:R151"/>
    <mergeCell ref="S146:S151"/>
    <mergeCell ref="T146:T151"/>
    <mergeCell ref="U146:U151"/>
    <mergeCell ref="V146:V151"/>
    <mergeCell ref="W146:W151"/>
    <mergeCell ref="X146:X151"/>
    <mergeCell ref="Y146:Y151"/>
    <mergeCell ref="Z146:Z151"/>
    <mergeCell ref="AA146:AA151"/>
    <mergeCell ref="AB146:AB151"/>
    <mergeCell ref="AC146:AC151"/>
    <mergeCell ref="AD146:AD151"/>
    <mergeCell ref="AE146:AE151"/>
    <mergeCell ref="AF146:AF151"/>
    <mergeCell ref="AG146:AG151"/>
    <mergeCell ref="AH146:AH151"/>
    <mergeCell ref="AI146:AI151"/>
    <mergeCell ref="AJ146:AJ151"/>
    <mergeCell ref="AK146:AK151"/>
    <mergeCell ref="AL146:AL151"/>
    <mergeCell ref="AM146:AM151"/>
    <mergeCell ref="AN146:AN151"/>
    <mergeCell ref="AO146:AO151"/>
    <mergeCell ref="AP146:AP151"/>
    <mergeCell ref="AQ146:AQ151"/>
    <mergeCell ref="A152:A154"/>
    <mergeCell ref="B152:B154"/>
    <mergeCell ref="C152:C154"/>
    <mergeCell ref="M152:M154"/>
    <mergeCell ref="N152:N154"/>
    <mergeCell ref="O152:O154"/>
    <mergeCell ref="P152:P154"/>
    <mergeCell ref="Q152:Q154"/>
    <mergeCell ref="R152:R154"/>
    <mergeCell ref="S152:S154"/>
    <mergeCell ref="T152:T154"/>
    <mergeCell ref="U152:U154"/>
    <mergeCell ref="V152:V154"/>
    <mergeCell ref="W152:W154"/>
    <mergeCell ref="X152:X154"/>
    <mergeCell ref="Y152:Y154"/>
    <mergeCell ref="Z152:Z154"/>
    <mergeCell ref="AA152:AA154"/>
    <mergeCell ref="AB152:AB154"/>
    <mergeCell ref="AC152:AC154"/>
    <mergeCell ref="AD152:AD154"/>
    <mergeCell ref="AE152:AE154"/>
    <mergeCell ref="AF152:AF154"/>
    <mergeCell ref="AG152:AG154"/>
    <mergeCell ref="AH152:AH154"/>
    <mergeCell ref="AI152:AI154"/>
    <mergeCell ref="AJ152:AJ154"/>
    <mergeCell ref="AK152:AK154"/>
    <mergeCell ref="AL152:AL154"/>
    <mergeCell ref="AM152:AM154"/>
    <mergeCell ref="AN152:AN154"/>
    <mergeCell ref="AO152:AO154"/>
    <mergeCell ref="AP152:AP154"/>
    <mergeCell ref="AQ152:AQ154"/>
    <mergeCell ref="A155:A157"/>
    <mergeCell ref="B155:B157"/>
    <mergeCell ref="C155:C157"/>
    <mergeCell ref="M155:M157"/>
    <mergeCell ref="N155:N157"/>
    <mergeCell ref="O155:O157"/>
    <mergeCell ref="P155:P157"/>
    <mergeCell ref="Q155:Q157"/>
    <mergeCell ref="R155:R157"/>
    <mergeCell ref="S155:S157"/>
    <mergeCell ref="T155:T157"/>
    <mergeCell ref="U155:U157"/>
    <mergeCell ref="V155:V157"/>
    <mergeCell ref="W155:W157"/>
    <mergeCell ref="X155:X157"/>
    <mergeCell ref="Y155:Y157"/>
    <mergeCell ref="Z155:Z157"/>
    <mergeCell ref="AA155:AA157"/>
    <mergeCell ref="AB155:AB157"/>
    <mergeCell ref="AC155:AC157"/>
    <mergeCell ref="AD155:AD157"/>
    <mergeCell ref="AE155:AE157"/>
    <mergeCell ref="AF155:AF157"/>
    <mergeCell ref="AG155:AG157"/>
    <mergeCell ref="AH155:AH157"/>
    <mergeCell ref="AI155:AI157"/>
    <mergeCell ref="AJ155:AJ157"/>
    <mergeCell ref="AK155:AK157"/>
    <mergeCell ref="AL155:AL157"/>
    <mergeCell ref="AM155:AM157"/>
    <mergeCell ref="AN155:AN157"/>
    <mergeCell ref="AO155:AO157"/>
    <mergeCell ref="AP155:AP157"/>
    <mergeCell ref="AQ155:AQ157"/>
    <mergeCell ref="A158:A160"/>
    <mergeCell ref="B158:B160"/>
    <mergeCell ref="C158:C160"/>
    <mergeCell ref="M158:M160"/>
    <mergeCell ref="N158:N160"/>
    <mergeCell ref="O158:O160"/>
    <mergeCell ref="P158:P160"/>
    <mergeCell ref="Q158:Q160"/>
    <mergeCell ref="R158:R160"/>
    <mergeCell ref="S158:S160"/>
    <mergeCell ref="T158:T160"/>
    <mergeCell ref="U158:U160"/>
    <mergeCell ref="V158:V160"/>
    <mergeCell ref="W158:W160"/>
    <mergeCell ref="X158:X160"/>
    <mergeCell ref="Y158:Y160"/>
    <mergeCell ref="Z158:Z160"/>
    <mergeCell ref="AA158:AA160"/>
    <mergeCell ref="AB158:AB160"/>
    <mergeCell ref="AC158:AC160"/>
    <mergeCell ref="AD158:AD160"/>
    <mergeCell ref="AE158:AE160"/>
    <mergeCell ref="AM158:AM160"/>
    <mergeCell ref="AN158:AN160"/>
    <mergeCell ref="AO158:AO160"/>
    <mergeCell ref="AP158:AP160"/>
    <mergeCell ref="AQ158:AQ160"/>
    <mergeCell ref="AF158:AF160"/>
    <mergeCell ref="AG158:AG160"/>
    <mergeCell ref="AH158:AH160"/>
    <mergeCell ref="AI158:AI160"/>
    <mergeCell ref="AJ158:AJ160"/>
    <mergeCell ref="AK158:AK160"/>
    <mergeCell ref="AL158:AL160"/>
  </mergeCells>
  <pageMargins left="0.51181102362204722" right="0.51181102362204722" top="0.74803149606299213" bottom="0.35433070866141736" header="0" footer="0"/>
  <pageSetup paperSize="9" scale="22" fitToHeight="0" orientation="landscape" r:id="rId1"/>
  <rowBreaks count="5" manualBreakCount="5">
    <brk id="20" max="43" man="1"/>
    <brk id="43" max="43" man="1"/>
    <brk id="63" max="43" man="1"/>
    <brk id="83" max="43" man="1"/>
    <brk id="101" max="4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D7FEF-CA64-4FC8-8118-D884AA94A48C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151" t="s">
        <v>298</v>
      </c>
      <c r="B1" s="152"/>
      <c r="C1" s="153"/>
    </row>
    <row r="2" spans="1:3" ht="15" customHeight="1" x14ac:dyDescent="0.25">
      <c r="A2" s="154"/>
      <c r="B2" s="155" t="s">
        <v>299</v>
      </c>
      <c r="C2" s="156"/>
    </row>
    <row r="3" spans="1:3" ht="15" customHeight="1" x14ac:dyDescent="0.25">
      <c r="A3" s="154"/>
      <c r="B3" s="155" t="s">
        <v>300</v>
      </c>
      <c r="C3" s="156"/>
    </row>
    <row r="4" spans="1:3" ht="15" customHeight="1" x14ac:dyDescent="0.25">
      <c r="A4" s="157" t="s">
        <v>301</v>
      </c>
      <c r="B4" s="158"/>
      <c r="C4" s="159"/>
    </row>
    <row r="5" spans="1:3" ht="15" customHeight="1" x14ac:dyDescent="0.25">
      <c r="A5" s="149" t="s">
        <v>302</v>
      </c>
      <c r="B5" s="150"/>
      <c r="C5" s="78" t="s">
        <v>303</v>
      </c>
    </row>
    <row r="6" spans="1:3" ht="105" x14ac:dyDescent="0.25">
      <c r="A6" s="147" t="s">
        <v>304</v>
      </c>
      <c r="B6" s="148"/>
      <c r="C6" s="78" t="s">
        <v>305</v>
      </c>
    </row>
    <row r="7" spans="1:3" ht="60" x14ac:dyDescent="0.25">
      <c r="A7" s="147" t="s">
        <v>306</v>
      </c>
      <c r="B7" s="148"/>
      <c r="C7" s="78" t="s">
        <v>307</v>
      </c>
    </row>
    <row r="8" spans="1:3" ht="15" customHeight="1" x14ac:dyDescent="0.25">
      <c r="A8" s="149" t="s">
        <v>308</v>
      </c>
      <c r="B8" s="150"/>
      <c r="C8" s="78" t="s">
        <v>309</v>
      </c>
    </row>
    <row r="9" spans="1:3" ht="15" customHeight="1" x14ac:dyDescent="0.25">
      <c r="A9" s="149" t="s">
        <v>310</v>
      </c>
      <c r="B9" s="150"/>
      <c r="C9" s="78" t="s">
        <v>311</v>
      </c>
    </row>
    <row r="10" spans="1:3" ht="15" customHeight="1" x14ac:dyDescent="0.25">
      <c r="A10" s="149" t="s">
        <v>312</v>
      </c>
      <c r="B10" s="150"/>
      <c r="C10" s="78" t="s">
        <v>313</v>
      </c>
    </row>
    <row r="11" spans="1:3" ht="15" customHeight="1" x14ac:dyDescent="0.25">
      <c r="A11" s="149" t="s">
        <v>314</v>
      </c>
      <c r="B11" s="150"/>
      <c r="C11" s="78" t="s">
        <v>315</v>
      </c>
    </row>
    <row r="12" spans="1:3" ht="15.75" thickBot="1" x14ac:dyDescent="0.3">
      <c r="A12" s="79"/>
      <c r="B12" s="80"/>
      <c r="C12" s="81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ВЛ </vt:lpstr>
      <vt:lpstr>КЛ</vt:lpstr>
      <vt:lpstr>ПС</vt:lpstr>
      <vt:lpstr>Информация о подписи</vt:lpstr>
      <vt:lpstr>'ВЛ '!Область_печати</vt:lpstr>
      <vt:lpstr>ПС!Область_печати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2025-04-21T01:33:48Z</dcterms:modified>
</cp:coreProperties>
</file>